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elangston\Desktop\Budgets\"/>
    </mc:Choice>
  </mc:AlternateContent>
  <xr:revisionPtr revIDLastSave="0" documentId="13_ncr:1_{FB5CED0F-3BDC-40EA-BAF2-6C050AEDB883}" xr6:coauthVersionLast="47" xr6:coauthVersionMax="47" xr10:uidLastSave="{00000000-0000-0000-0000-000000000000}"/>
  <bookViews>
    <workbookView xWindow="28680" yWindow="-120" windowWidth="29040" windowHeight="15840" tabRatio="750" xr2:uid="{00000000-000D-0000-FFFF-FFFF00000000}"/>
  </bookViews>
  <sheets>
    <sheet name="2023_BUDGET" sheetId="1" r:id="rId1"/>
    <sheet name="2022 Reforecast" sheetId="11" r:id="rId2"/>
    <sheet name="RENT" sheetId="2" r:id="rId3"/>
    <sheet name="CAM" sheetId="3" r:id="rId4"/>
    <sheet name="TAX" sheetId="4" r:id="rId5"/>
    <sheet name="INS" sheetId="5" r:id="rId6"/>
    <sheet name="2022 Est. CAM Pools" sheetId="6" r:id="rId7"/>
    <sheet name="2022 Est. CAM RECON" sheetId="7" r:id="rId8"/>
    <sheet name="2022 Est. TAX RECON" sheetId="8" r:id="rId9"/>
    <sheet name="2022 Est. INS RECON" sheetId="9" r:id="rId10"/>
  </sheets>
  <definedNames>
    <definedName name="_xlnm.Print_Area" localSheetId="6">'2022 Est. CAM Pools'!$A$1:$R$61</definedName>
    <definedName name="_xlnm.Print_Area" localSheetId="7">'2022 Est. CAM RECON'!$A$1:$M$17</definedName>
    <definedName name="_xlnm.Print_Area" localSheetId="9">'2022 Est. INS RECON'!$A$1:$M$22</definedName>
    <definedName name="_xlnm.Print_Area" localSheetId="8">'2022 Est. TAX RECON'!$A$1:$M$24</definedName>
    <definedName name="_xlnm.Print_Area" localSheetId="0">'2023_BUDGET'!$A$2:$Q$73</definedName>
    <definedName name="_xlnm.Print_Area" localSheetId="2">RENT!$A$1:$R$17</definedName>
    <definedName name="_xlnm.Print_Titles" localSheetId="1">'2022 Reforecast'!$1:$5</definedName>
    <definedName name="_xlnm.Print_Titles" localSheetId="0">'2023_BUDGET'!$1:$5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C12" i="9" l="1"/>
  <c r="C11" i="9"/>
  <c r="L21" i="9"/>
  <c r="C13" i="9" s="1"/>
  <c r="L20" i="9"/>
  <c r="D15" i="7"/>
  <c r="F12" i="7"/>
  <c r="F11" i="7"/>
  <c r="F10" i="7"/>
  <c r="F9" i="7"/>
  <c r="K9" i="9"/>
  <c r="J7" i="7"/>
  <c r="D45" i="6"/>
  <c r="D46" i="6" s="1"/>
  <c r="C10" i="9" l="1"/>
  <c r="C9" i="9"/>
  <c r="E15" i="4"/>
  <c r="E14" i="2"/>
  <c r="C8" i="1" s="1"/>
  <c r="C10" i="1" s="1"/>
  <c r="E15" i="3"/>
  <c r="C13" i="2"/>
  <c r="P68" i="1"/>
  <c r="O53" i="1"/>
  <c r="O9" i="11"/>
  <c r="P8" i="1" s="1"/>
  <c r="O10" i="11"/>
  <c r="P9" i="1" s="1"/>
  <c r="C11" i="11"/>
  <c r="D11" i="11"/>
  <c r="E11" i="11"/>
  <c r="F11" i="11"/>
  <c r="G11" i="11"/>
  <c r="H11" i="11"/>
  <c r="I11" i="11"/>
  <c r="J11" i="11"/>
  <c r="K11" i="11"/>
  <c r="L11" i="11"/>
  <c r="M11" i="11"/>
  <c r="N11" i="11"/>
  <c r="O14" i="11"/>
  <c r="P12" i="1" s="1"/>
  <c r="O15" i="11"/>
  <c r="P13" i="1" s="1"/>
  <c r="O16" i="11"/>
  <c r="P14" i="1" s="1"/>
  <c r="O17" i="11"/>
  <c r="P15" i="1" s="1"/>
  <c r="O18" i="11"/>
  <c r="P16" i="1" s="1"/>
  <c r="O19" i="11"/>
  <c r="P17" i="1" s="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C22" i="11"/>
  <c r="D22" i="11"/>
  <c r="E22" i="11"/>
  <c r="F22" i="11"/>
  <c r="G22" i="11"/>
  <c r="H22" i="11"/>
  <c r="I22" i="11"/>
  <c r="J22" i="11"/>
  <c r="K22" i="11"/>
  <c r="M22" i="11"/>
  <c r="N22" i="11"/>
  <c r="O29" i="11"/>
  <c r="P25" i="1" s="1"/>
  <c r="O30" i="11"/>
  <c r="P26" i="1" s="1"/>
  <c r="O31" i="11"/>
  <c r="O32" i="11"/>
  <c r="O33" i="11"/>
  <c r="O34" i="11"/>
  <c r="O35" i="11"/>
  <c r="O36" i="11"/>
  <c r="P32" i="1" s="1"/>
  <c r="O37" i="11"/>
  <c r="B17" i="6" s="1"/>
  <c r="O38" i="11"/>
  <c r="O39" i="11"/>
  <c r="O40" i="11"/>
  <c r="O41" i="11"/>
  <c r="B21" i="6" s="1"/>
  <c r="O42" i="11"/>
  <c r="C43" i="11"/>
  <c r="D43" i="11"/>
  <c r="E43" i="11"/>
  <c r="F43" i="11"/>
  <c r="G43" i="11"/>
  <c r="H43" i="11"/>
  <c r="I43" i="11"/>
  <c r="I45" i="11" s="1"/>
  <c r="J43" i="11"/>
  <c r="K43" i="11"/>
  <c r="L43" i="11"/>
  <c r="L45" i="11" s="1"/>
  <c r="M43" i="11"/>
  <c r="M45" i="11" s="1"/>
  <c r="N43" i="11"/>
  <c r="N45" i="11" s="1"/>
  <c r="C45" i="11"/>
  <c r="D45" i="11"/>
  <c r="E45" i="11"/>
  <c r="F45" i="11"/>
  <c r="G45" i="11"/>
  <c r="H45" i="11"/>
  <c r="J45" i="11"/>
  <c r="K45" i="11"/>
  <c r="O48" i="11"/>
  <c r="O49" i="11"/>
  <c r="L21" i="8" s="1"/>
  <c r="C12" i="8" s="1"/>
  <c r="O50" i="11"/>
  <c r="L19" i="8" s="1"/>
  <c r="C10" i="8" s="1"/>
  <c r="O51" i="11"/>
  <c r="M33" i="6" s="1"/>
  <c r="C52" i="11"/>
  <c r="D52" i="11"/>
  <c r="E52" i="11"/>
  <c r="F52" i="11"/>
  <c r="G52" i="11"/>
  <c r="H52" i="11"/>
  <c r="I52" i="11"/>
  <c r="J52" i="11"/>
  <c r="K52" i="11"/>
  <c r="L52" i="11"/>
  <c r="M52" i="11"/>
  <c r="N52" i="11"/>
  <c r="C54" i="11"/>
  <c r="D54" i="11"/>
  <c r="E54" i="11"/>
  <c r="F54" i="11"/>
  <c r="G54" i="11"/>
  <c r="H54" i="11"/>
  <c r="J54" i="11"/>
  <c r="K54" i="11"/>
  <c r="O60" i="11"/>
  <c r="O61" i="11"/>
  <c r="P49" i="1" s="1"/>
  <c r="C62" i="11"/>
  <c r="D62" i="11"/>
  <c r="E62" i="11"/>
  <c r="F62" i="11"/>
  <c r="G62" i="11"/>
  <c r="H62" i="11"/>
  <c r="I62" i="11"/>
  <c r="J62" i="11"/>
  <c r="K62" i="11"/>
  <c r="L62" i="11"/>
  <c r="M62" i="11"/>
  <c r="N62" i="11"/>
  <c r="O65" i="11"/>
  <c r="B28" i="6" s="1"/>
  <c r="M28" i="6" s="1"/>
  <c r="O66" i="11"/>
  <c r="P53" i="1" s="1"/>
  <c r="O67" i="11"/>
  <c r="P54" i="1" s="1"/>
  <c r="C68" i="11"/>
  <c r="D68" i="11"/>
  <c r="E68" i="11"/>
  <c r="F68" i="11"/>
  <c r="G68" i="11"/>
  <c r="H68" i="11"/>
  <c r="I68" i="11"/>
  <c r="J68" i="11"/>
  <c r="K68" i="11"/>
  <c r="L68" i="11"/>
  <c r="L70" i="11" s="1"/>
  <c r="M68" i="11"/>
  <c r="M70" i="11" s="1"/>
  <c r="N68" i="11"/>
  <c r="N70" i="11" s="1"/>
  <c r="C70" i="11"/>
  <c r="D70" i="11"/>
  <c r="E70" i="11"/>
  <c r="F70" i="11"/>
  <c r="G70" i="11"/>
  <c r="H70" i="11"/>
  <c r="I70" i="11"/>
  <c r="J70" i="11"/>
  <c r="K70" i="11"/>
  <c r="C72" i="11"/>
  <c r="D72" i="11"/>
  <c r="E72" i="11"/>
  <c r="F72" i="11"/>
  <c r="G72" i="11"/>
  <c r="H72" i="11"/>
  <c r="J72" i="11"/>
  <c r="K72" i="11"/>
  <c r="C74" i="11"/>
  <c r="D74" i="11"/>
  <c r="E74" i="11"/>
  <c r="F74" i="11"/>
  <c r="G74" i="11"/>
  <c r="H74" i="11"/>
  <c r="J74" i="11"/>
  <c r="K74" i="11"/>
  <c r="O79" i="11"/>
  <c r="P63" i="1" s="1"/>
  <c r="C80" i="11"/>
  <c r="D80" i="11"/>
  <c r="E80" i="11"/>
  <c r="F80" i="11"/>
  <c r="G80" i="11"/>
  <c r="H80" i="11"/>
  <c r="I80" i="11"/>
  <c r="J80" i="11"/>
  <c r="K80" i="11"/>
  <c r="L80" i="11"/>
  <c r="M80" i="11"/>
  <c r="N80" i="11"/>
  <c r="O80" i="11"/>
  <c r="O83" i="11"/>
  <c r="P64" i="1" s="1"/>
  <c r="C84" i="11"/>
  <c r="D84" i="11"/>
  <c r="E84" i="11"/>
  <c r="F84" i="11"/>
  <c r="G84" i="11"/>
  <c r="H84" i="11"/>
  <c r="I84" i="11"/>
  <c r="J84" i="11"/>
  <c r="K84" i="11"/>
  <c r="L84" i="11"/>
  <c r="M84" i="11"/>
  <c r="N84" i="11"/>
  <c r="O84" i="11"/>
  <c r="C86" i="11"/>
  <c r="D86" i="11"/>
  <c r="E86" i="11"/>
  <c r="F86" i="11"/>
  <c r="G86" i="11"/>
  <c r="H86" i="11"/>
  <c r="I86" i="11"/>
  <c r="J86" i="11"/>
  <c r="K86" i="11"/>
  <c r="L86" i="11"/>
  <c r="M86" i="11"/>
  <c r="N86" i="11"/>
  <c r="O86" i="11"/>
  <c r="O89" i="11"/>
  <c r="P67" i="1" s="1"/>
  <c r="O90" i="11"/>
  <c r="C91" i="11"/>
  <c r="D91" i="11"/>
  <c r="E91" i="11"/>
  <c r="F91" i="11"/>
  <c r="G91" i="11"/>
  <c r="H91" i="11"/>
  <c r="I91" i="11"/>
  <c r="J91" i="11"/>
  <c r="K91" i="11"/>
  <c r="L91" i="11"/>
  <c r="M91" i="11"/>
  <c r="N91" i="11"/>
  <c r="O91" i="11"/>
  <c r="C93" i="11"/>
  <c r="D93" i="11"/>
  <c r="E93" i="11"/>
  <c r="F93" i="11"/>
  <c r="G93" i="11"/>
  <c r="H93" i="11"/>
  <c r="I93" i="11"/>
  <c r="J93" i="11"/>
  <c r="K93" i="11"/>
  <c r="L93" i="11"/>
  <c r="M93" i="11"/>
  <c r="N93" i="11"/>
  <c r="O93" i="11"/>
  <c r="C95" i="11"/>
  <c r="D95" i="11"/>
  <c r="E95" i="11"/>
  <c r="F95" i="11"/>
  <c r="G95" i="11"/>
  <c r="H95" i="11"/>
  <c r="J95" i="11"/>
  <c r="K95" i="11"/>
  <c r="P65" i="1" l="1"/>
  <c r="L18" i="8"/>
  <c r="P40" i="1"/>
  <c r="I54" i="11"/>
  <c r="I72" i="11" s="1"/>
  <c r="I74" i="11" s="1"/>
  <c r="I95" i="11" s="1"/>
  <c r="B24" i="6"/>
  <c r="P37" i="1"/>
  <c r="B20" i="6"/>
  <c r="P36" i="1"/>
  <c r="B19" i="6"/>
  <c r="P35" i="1"/>
  <c r="P34" i="1"/>
  <c r="B18" i="6"/>
  <c r="B15" i="6"/>
  <c r="P31" i="1"/>
  <c r="B14" i="6"/>
  <c r="P30" i="1"/>
  <c r="B13" i="6"/>
  <c r="P29" i="1"/>
  <c r="B12" i="6"/>
  <c r="P28" i="1"/>
  <c r="B11" i="6"/>
  <c r="P27" i="1"/>
  <c r="L22" i="11"/>
  <c r="O68" i="11"/>
  <c r="P52" i="1"/>
  <c r="O62" i="11"/>
  <c r="O70" i="11" s="1"/>
  <c r="P48" i="1"/>
  <c r="P41" i="1"/>
  <c r="N54" i="11"/>
  <c r="N72" i="11" s="1"/>
  <c r="N74" i="11" s="1"/>
  <c r="N95" i="11" s="1"/>
  <c r="M54" i="11"/>
  <c r="M72" i="11" s="1"/>
  <c r="M74" i="11" s="1"/>
  <c r="M95" i="11" s="1"/>
  <c r="O52" i="11"/>
  <c r="L54" i="11"/>
  <c r="L72" i="11" s="1"/>
  <c r="L74" i="11" s="1"/>
  <c r="L95" i="11" s="1"/>
  <c r="M34" i="6"/>
  <c r="C8" i="8"/>
  <c r="C9" i="8"/>
  <c r="O11" i="11"/>
  <c r="O22" i="11" s="1"/>
  <c r="P10" i="1"/>
  <c r="P33" i="1"/>
  <c r="B16" i="6"/>
  <c r="B10" i="6"/>
  <c r="O43" i="11"/>
  <c r="O45" i="11" s="1"/>
  <c r="B9" i="6"/>
  <c r="P69" i="1"/>
  <c r="P18" i="1"/>
  <c r="O68" i="1"/>
  <c r="P20" i="1" l="1"/>
  <c r="O54" i="11"/>
  <c r="O72" i="11" s="1"/>
  <c r="O74" i="11" s="1"/>
  <c r="O95" i="11" s="1"/>
  <c r="G9" i="9"/>
  <c r="E16" i="9"/>
  <c r="E15" i="8"/>
  <c r="J9" i="7"/>
  <c r="L20" i="8" l="1"/>
  <c r="E13" i="7"/>
  <c r="F13" i="7" s="1"/>
  <c r="F8" i="7"/>
  <c r="F7" i="7"/>
  <c r="F13" i="9"/>
  <c r="G11" i="9"/>
  <c r="G12" i="9"/>
  <c r="F15" i="7"/>
  <c r="L22" i="8" l="1"/>
  <c r="C11" i="8"/>
  <c r="D60" i="6" l="1"/>
  <c r="J27" i="6" s="1"/>
  <c r="J28" i="6" s="1"/>
  <c r="D28" i="6" l="1"/>
  <c r="B27" i="6"/>
  <c r="B29" i="6" s="1"/>
  <c r="B38" i="6" l="1"/>
  <c r="C38" i="6" s="1"/>
  <c r="Q6" i="3"/>
  <c r="Q7" i="3"/>
  <c r="Q8" i="3"/>
  <c r="Q9" i="3"/>
  <c r="Q10" i="3"/>
  <c r="Q11" i="3"/>
  <c r="Q12" i="3"/>
  <c r="Q15" i="3" l="1"/>
  <c r="N38" i="1"/>
  <c r="P42" i="1"/>
  <c r="P38" i="1"/>
  <c r="C12" i="1"/>
  <c r="O25" i="1"/>
  <c r="P55" i="1" l="1"/>
  <c r="P50" i="1"/>
  <c r="P44" i="1"/>
  <c r="Q9" i="2"/>
  <c r="P56" i="1" l="1"/>
  <c r="P58" i="1" s="1"/>
  <c r="P60" i="1" s="1"/>
  <c r="P71" i="1" s="1"/>
  <c r="G15" i="4"/>
  <c r="E13" i="1" s="1"/>
  <c r="K12" i="9"/>
  <c r="K10" i="9"/>
  <c r="K8" i="8"/>
  <c r="K9" i="8"/>
  <c r="K11" i="8"/>
  <c r="J11" i="7"/>
  <c r="J12" i="7"/>
  <c r="J8" i="7"/>
  <c r="J24" i="6" l="1"/>
  <c r="M24" i="6"/>
  <c r="P24" i="6"/>
  <c r="P15" i="5"/>
  <c r="N14" i="1" s="1"/>
  <c r="O15" i="5"/>
  <c r="M14" i="1" s="1"/>
  <c r="N15" i="5"/>
  <c r="L14" i="1" s="1"/>
  <c r="M15" i="5"/>
  <c r="K14" i="1" s="1"/>
  <c r="L15" i="5"/>
  <c r="J14" i="1" s="1"/>
  <c r="K15" i="5"/>
  <c r="I14" i="1" s="1"/>
  <c r="J15" i="5"/>
  <c r="H14" i="1" s="1"/>
  <c r="I15" i="5"/>
  <c r="G14" i="1" s="1"/>
  <c r="H15" i="5"/>
  <c r="F14" i="1" s="1"/>
  <c r="G15" i="5"/>
  <c r="E14" i="1" s="1"/>
  <c r="F15" i="5"/>
  <c r="D14" i="1" s="1"/>
  <c r="E15" i="5"/>
  <c r="C14" i="1" s="1"/>
  <c r="C13" i="5"/>
  <c r="Q12" i="5"/>
  <c r="Q11" i="5"/>
  <c r="Q10" i="5"/>
  <c r="Q9" i="5"/>
  <c r="Q8" i="5"/>
  <c r="Q7" i="5"/>
  <c r="Q6" i="5"/>
  <c r="P15" i="4"/>
  <c r="N13" i="1" s="1"/>
  <c r="O15" i="4"/>
  <c r="M13" i="1" s="1"/>
  <c r="N15" i="4"/>
  <c r="L13" i="1" s="1"/>
  <c r="M15" i="4"/>
  <c r="K13" i="1" s="1"/>
  <c r="L15" i="4"/>
  <c r="J13" i="1" s="1"/>
  <c r="K15" i="4"/>
  <c r="I13" i="1" s="1"/>
  <c r="J15" i="4"/>
  <c r="H13" i="1" s="1"/>
  <c r="I15" i="4"/>
  <c r="G13" i="1" s="1"/>
  <c r="H15" i="4"/>
  <c r="F13" i="1" s="1"/>
  <c r="F15" i="4"/>
  <c r="D13" i="1" s="1"/>
  <c r="C13" i="1"/>
  <c r="C13" i="4"/>
  <c r="Q12" i="4"/>
  <c r="Q11" i="4"/>
  <c r="Q10" i="4"/>
  <c r="Q9" i="4"/>
  <c r="Q8" i="4"/>
  <c r="Q7" i="4"/>
  <c r="Q6" i="4"/>
  <c r="M15" i="3"/>
  <c r="K12" i="1" s="1"/>
  <c r="K18" i="1" s="1"/>
  <c r="I15" i="3"/>
  <c r="G12" i="1" s="1"/>
  <c r="G15" i="3"/>
  <c r="E12" i="1" s="1"/>
  <c r="E18" i="1" s="1"/>
  <c r="F15" i="3"/>
  <c r="D12" i="1" s="1"/>
  <c r="C13" i="3"/>
  <c r="P15" i="3"/>
  <c r="N12" i="1" s="1"/>
  <c r="O15" i="3"/>
  <c r="M12" i="1" s="1"/>
  <c r="N15" i="3"/>
  <c r="L12" i="1" s="1"/>
  <c r="L18" i="1" s="1"/>
  <c r="L15" i="3"/>
  <c r="J12" i="1" s="1"/>
  <c r="K15" i="3"/>
  <c r="I12" i="1" s="1"/>
  <c r="J15" i="3"/>
  <c r="H12" i="1" s="1"/>
  <c r="H15" i="3"/>
  <c r="F12" i="1" s="1"/>
  <c r="D69" i="1"/>
  <c r="E69" i="1"/>
  <c r="F69" i="1"/>
  <c r="G69" i="1"/>
  <c r="H69" i="1"/>
  <c r="I69" i="1"/>
  <c r="J69" i="1"/>
  <c r="K69" i="1"/>
  <c r="L69" i="1"/>
  <c r="M69" i="1"/>
  <c r="N69" i="1"/>
  <c r="C69" i="1"/>
  <c r="O67" i="1"/>
  <c r="O63" i="1"/>
  <c r="O64" i="1"/>
  <c r="D65" i="1"/>
  <c r="E65" i="1"/>
  <c r="F65" i="1"/>
  <c r="G65" i="1"/>
  <c r="H65" i="1"/>
  <c r="I65" i="1"/>
  <c r="J65" i="1"/>
  <c r="K65" i="1"/>
  <c r="L65" i="1"/>
  <c r="M65" i="1"/>
  <c r="N65" i="1"/>
  <c r="C65" i="1"/>
  <c r="O54" i="1"/>
  <c r="M50" i="1"/>
  <c r="O48" i="1"/>
  <c r="J50" i="1"/>
  <c r="H42" i="1"/>
  <c r="I42" i="1"/>
  <c r="L50" i="1"/>
  <c r="D50" i="1"/>
  <c r="E50" i="1"/>
  <c r="F50" i="1"/>
  <c r="G50" i="1"/>
  <c r="H50" i="1"/>
  <c r="I50" i="1"/>
  <c r="K50" i="1"/>
  <c r="N50" i="1"/>
  <c r="C50" i="1"/>
  <c r="O49" i="1"/>
  <c r="D42" i="1"/>
  <c r="E42" i="1"/>
  <c r="F42" i="1"/>
  <c r="G42" i="1"/>
  <c r="J42" i="1"/>
  <c r="K42" i="1"/>
  <c r="L42" i="1"/>
  <c r="M42" i="1"/>
  <c r="N42" i="1"/>
  <c r="C42" i="1"/>
  <c r="O41" i="1"/>
  <c r="O40" i="1"/>
  <c r="O26" i="1"/>
  <c r="O27" i="1"/>
  <c r="O28" i="1"/>
  <c r="O29" i="1"/>
  <c r="O30" i="1"/>
  <c r="O31" i="1"/>
  <c r="O32" i="1"/>
  <c r="O33" i="1"/>
  <c r="O34" i="1"/>
  <c r="O35" i="1"/>
  <c r="O36" i="1"/>
  <c r="O37" i="1"/>
  <c r="K16" i="9"/>
  <c r="I14" i="9"/>
  <c r="G14" i="9"/>
  <c r="I13" i="9"/>
  <c r="J13" i="9" s="1"/>
  <c r="L13" i="9" s="1"/>
  <c r="I12" i="9"/>
  <c r="I11" i="9"/>
  <c r="J11" i="9" s="1"/>
  <c r="I10" i="9"/>
  <c r="G10" i="9"/>
  <c r="I9" i="9"/>
  <c r="J9" i="9" s="1"/>
  <c r="L9" i="9" s="1"/>
  <c r="L8" i="9"/>
  <c r="I8" i="9"/>
  <c r="G8" i="9"/>
  <c r="K15" i="8"/>
  <c r="I13" i="8"/>
  <c r="G13" i="8"/>
  <c r="I12" i="8"/>
  <c r="J12" i="8"/>
  <c r="L12" i="8" s="1"/>
  <c r="I11" i="8"/>
  <c r="G11" i="8"/>
  <c r="I10" i="8"/>
  <c r="G10" i="8"/>
  <c r="I9" i="8"/>
  <c r="G9" i="8"/>
  <c r="I8" i="8"/>
  <c r="G8" i="8"/>
  <c r="I7" i="8"/>
  <c r="G7" i="8"/>
  <c r="J7" i="8" s="1"/>
  <c r="J15" i="7"/>
  <c r="H13" i="7"/>
  <c r="H12" i="7"/>
  <c r="H11" i="7"/>
  <c r="K10" i="7"/>
  <c r="H10" i="7"/>
  <c r="H9" i="7"/>
  <c r="H8" i="7"/>
  <c r="H7" i="7"/>
  <c r="P28" i="6"/>
  <c r="P26" i="6"/>
  <c r="M26" i="6"/>
  <c r="J26" i="6"/>
  <c r="G26" i="6"/>
  <c r="D26" i="6"/>
  <c r="P25" i="6"/>
  <c r="M25" i="6"/>
  <c r="J25" i="6"/>
  <c r="G25" i="6"/>
  <c r="D25" i="6"/>
  <c r="P23" i="6"/>
  <c r="P22" i="6"/>
  <c r="M22" i="6"/>
  <c r="J22" i="6"/>
  <c r="G22" i="6"/>
  <c r="D22" i="6"/>
  <c r="M21" i="6"/>
  <c r="M20" i="6"/>
  <c r="P19" i="6"/>
  <c r="M19" i="6"/>
  <c r="J19" i="6"/>
  <c r="G19" i="6"/>
  <c r="D19" i="6"/>
  <c r="M17" i="6"/>
  <c r="M16" i="6"/>
  <c r="M15" i="6"/>
  <c r="P14" i="6"/>
  <c r="M14" i="6"/>
  <c r="J14" i="6"/>
  <c r="G14" i="6"/>
  <c r="D14" i="6"/>
  <c r="M13" i="6"/>
  <c r="M12" i="6"/>
  <c r="M11" i="6"/>
  <c r="M10" i="6"/>
  <c r="M9" i="6"/>
  <c r="P14" i="2"/>
  <c r="O14" i="2"/>
  <c r="N14" i="2"/>
  <c r="M14" i="2"/>
  <c r="L14" i="2"/>
  <c r="K14" i="2"/>
  <c r="J14" i="2"/>
  <c r="H8" i="1" s="1"/>
  <c r="H10" i="1" s="1"/>
  <c r="I14" i="2"/>
  <c r="G8" i="1" s="1"/>
  <c r="G10" i="1" s="1"/>
  <c r="H14" i="2"/>
  <c r="F8" i="1" s="1"/>
  <c r="F10" i="1" s="1"/>
  <c r="G14" i="2"/>
  <c r="E8" i="1" s="1"/>
  <c r="E10" i="1" s="1"/>
  <c r="F14" i="2"/>
  <c r="D8" i="1" s="1"/>
  <c r="D10" i="1" s="1"/>
  <c r="Q12" i="2"/>
  <c r="Q11" i="2"/>
  <c r="Q10" i="2"/>
  <c r="Q8" i="2"/>
  <c r="Q7" i="2"/>
  <c r="Q6" i="2"/>
  <c r="J8" i="1" l="1"/>
  <c r="J10" i="1" s="1"/>
  <c r="N8" i="1"/>
  <c r="N10" i="1" s="1"/>
  <c r="K8" i="1"/>
  <c r="K10" i="1" s="1"/>
  <c r="K20" i="1" s="1"/>
  <c r="L8" i="1"/>
  <c r="L10" i="1" s="1"/>
  <c r="L20" i="1" s="1"/>
  <c r="M8" i="1"/>
  <c r="M10" i="1" s="1"/>
  <c r="I8" i="1"/>
  <c r="I10" i="1" s="1"/>
  <c r="J9" i="8"/>
  <c r="J13" i="8"/>
  <c r="Q14" i="2"/>
  <c r="D18" i="1"/>
  <c r="D20" i="1" s="1"/>
  <c r="D52" i="1" s="1"/>
  <c r="D55" i="1" s="1"/>
  <c r="D56" i="1" s="1"/>
  <c r="H18" i="1"/>
  <c r="H20" i="1" s="1"/>
  <c r="H52" i="1" s="1"/>
  <c r="H55" i="1" s="1"/>
  <c r="H56" i="1" s="1"/>
  <c r="J18" i="1"/>
  <c r="O14" i="1"/>
  <c r="O12" i="1"/>
  <c r="J8" i="8"/>
  <c r="L8" i="8" s="1"/>
  <c r="G18" i="1"/>
  <c r="G20" i="1" s="1"/>
  <c r="G52" i="1" s="1"/>
  <c r="G55" i="1" s="1"/>
  <c r="G56" i="1" s="1"/>
  <c r="I18" i="1"/>
  <c r="Q15" i="5"/>
  <c r="J10" i="9"/>
  <c r="L10" i="9" s="1"/>
  <c r="J14" i="9"/>
  <c r="L14" i="9" s="1"/>
  <c r="O13" i="1"/>
  <c r="C18" i="1"/>
  <c r="D38" i="1"/>
  <c r="D44" i="1" s="1"/>
  <c r="F38" i="1"/>
  <c r="F44" i="1" s="1"/>
  <c r="H38" i="1"/>
  <c r="H44" i="1" s="1"/>
  <c r="G38" i="1"/>
  <c r="G44" i="1" s="1"/>
  <c r="L11" i="9"/>
  <c r="J12" i="9"/>
  <c r="L12" i="9" s="1"/>
  <c r="E20" i="1"/>
  <c r="J10" i="8"/>
  <c r="L10" i="8" s="1"/>
  <c r="O65" i="1"/>
  <c r="O69" i="1"/>
  <c r="Q15" i="4"/>
  <c r="O50" i="1"/>
  <c r="O42" i="1"/>
  <c r="D11" i="6"/>
  <c r="D21" i="6"/>
  <c r="D16" i="6"/>
  <c r="G48" i="6" s="1"/>
  <c r="D9" i="6"/>
  <c r="D13" i="6"/>
  <c r="P10" i="6"/>
  <c r="P12" i="6"/>
  <c r="P15" i="6"/>
  <c r="P17" i="6"/>
  <c r="P20" i="6"/>
  <c r="P9" i="6"/>
  <c r="D10" i="6"/>
  <c r="G47" i="6" s="1"/>
  <c r="P11" i="6"/>
  <c r="D12" i="6"/>
  <c r="P13" i="6"/>
  <c r="D15" i="6"/>
  <c r="P16" i="6"/>
  <c r="D17" i="6"/>
  <c r="D20" i="6"/>
  <c r="P21" i="6"/>
  <c r="J9" i="6"/>
  <c r="J10" i="6"/>
  <c r="J11" i="6"/>
  <c r="J12" i="6"/>
  <c r="J13" i="6"/>
  <c r="J15" i="6"/>
  <c r="J16" i="6"/>
  <c r="J17" i="6"/>
  <c r="J20" i="6"/>
  <c r="J21" i="6"/>
  <c r="L7" i="8"/>
  <c r="J11" i="8"/>
  <c r="G23" i="6"/>
  <c r="M23" i="6"/>
  <c r="M27" i="6" s="1"/>
  <c r="G9" i="6"/>
  <c r="G10" i="6"/>
  <c r="G11" i="6"/>
  <c r="G12" i="6"/>
  <c r="G13" i="6"/>
  <c r="G15" i="6"/>
  <c r="G16" i="6"/>
  <c r="G17" i="6"/>
  <c r="G20" i="6"/>
  <c r="G21" i="6"/>
  <c r="D23" i="6"/>
  <c r="J23" i="6"/>
  <c r="N18" i="1"/>
  <c r="G45" i="6" l="1"/>
  <c r="L16" i="9"/>
  <c r="J20" i="1"/>
  <c r="I20" i="1"/>
  <c r="I52" i="1" s="1"/>
  <c r="I55" i="1" s="1"/>
  <c r="I56" i="1" s="1"/>
  <c r="O8" i="1"/>
  <c r="N20" i="1"/>
  <c r="N52" i="1" s="1"/>
  <c r="N55" i="1" s="1"/>
  <c r="N56" i="1" s="1"/>
  <c r="C20" i="1"/>
  <c r="C52" i="1" s="1"/>
  <c r="C55" i="1" s="1"/>
  <c r="G46" i="6"/>
  <c r="D27" i="6"/>
  <c r="D29" i="6" s="1"/>
  <c r="D35" i="6" s="1"/>
  <c r="L9" i="8"/>
  <c r="G27" i="6"/>
  <c r="G28" i="6" s="1"/>
  <c r="F17" i="1"/>
  <c r="O17" i="1" s="1"/>
  <c r="J16" i="9"/>
  <c r="M29" i="6"/>
  <c r="G58" i="1"/>
  <c r="G60" i="1" s="1"/>
  <c r="G71" i="1" s="1"/>
  <c r="K38" i="1"/>
  <c r="K44" i="1" s="1"/>
  <c r="K52" i="1"/>
  <c r="K55" i="1" s="1"/>
  <c r="K56" i="1" s="1"/>
  <c r="L38" i="1"/>
  <c r="L44" i="1" s="1"/>
  <c r="L52" i="1"/>
  <c r="L55" i="1" s="1"/>
  <c r="L56" i="1" s="1"/>
  <c r="C38" i="1"/>
  <c r="C44" i="1" s="1"/>
  <c r="E38" i="1"/>
  <c r="E44" i="1" s="1"/>
  <c r="E52" i="1"/>
  <c r="O10" i="1"/>
  <c r="J38" i="1"/>
  <c r="J44" i="1" s="1"/>
  <c r="J52" i="1"/>
  <c r="J55" i="1" s="1"/>
  <c r="J56" i="1" s="1"/>
  <c r="I38" i="1"/>
  <c r="I44" i="1" s="1"/>
  <c r="H58" i="1"/>
  <c r="H60" i="1" s="1"/>
  <c r="H71" i="1" s="1"/>
  <c r="D58" i="1"/>
  <c r="D60" i="1" s="1"/>
  <c r="D71" i="1" s="1"/>
  <c r="P27" i="6"/>
  <c r="P29" i="6" s="1"/>
  <c r="P31" i="6" s="1"/>
  <c r="N44" i="1"/>
  <c r="M18" i="1"/>
  <c r="L11" i="8"/>
  <c r="J15" i="8"/>
  <c r="N58" i="1" l="1"/>
  <c r="N60" i="1" s="1"/>
  <c r="N71" i="1" s="1"/>
  <c r="M38" i="6"/>
  <c r="B7" i="7" s="1"/>
  <c r="M35" i="6"/>
  <c r="D38" i="6"/>
  <c r="B8" i="7" s="1"/>
  <c r="I8" i="7" s="1"/>
  <c r="G49" i="6"/>
  <c r="L15" i="8"/>
  <c r="F16" i="1" s="1"/>
  <c r="O16" i="1" s="1"/>
  <c r="L58" i="1"/>
  <c r="L60" i="1" s="1"/>
  <c r="L71" i="1" s="1"/>
  <c r="J58" i="1"/>
  <c r="J60" i="1" s="1"/>
  <c r="J71" i="1" s="1"/>
  <c r="I58" i="1"/>
  <c r="I60" i="1" s="1"/>
  <c r="I71" i="1" s="1"/>
  <c r="G29" i="6"/>
  <c r="G35" i="6" s="1"/>
  <c r="G38" i="6" s="1"/>
  <c r="J29" i="6"/>
  <c r="J35" i="6" s="1"/>
  <c r="J38" i="6" s="1"/>
  <c r="E55" i="1"/>
  <c r="E56" i="1" s="1"/>
  <c r="E58" i="1" s="1"/>
  <c r="E60" i="1" s="1"/>
  <c r="E71" i="1" s="1"/>
  <c r="C56" i="1"/>
  <c r="C58" i="1" s="1"/>
  <c r="C60" i="1" s="1"/>
  <c r="C71" i="1" s="1"/>
  <c r="K58" i="1"/>
  <c r="K60" i="1" s="1"/>
  <c r="K71" i="1" s="1"/>
  <c r="P35" i="6"/>
  <c r="M20" i="1"/>
  <c r="M52" i="1" s="1"/>
  <c r="M55" i="1" s="1"/>
  <c r="M56" i="1" s="1"/>
  <c r="B12" i="7" l="1"/>
  <c r="I12" i="7" s="1"/>
  <c r="K12" i="7" s="1"/>
  <c r="B9" i="7"/>
  <c r="I9" i="7" s="1"/>
  <c r="K9" i="7" s="1"/>
  <c r="I7" i="7"/>
  <c r="K7" i="7" s="1"/>
  <c r="P38" i="6"/>
  <c r="B11" i="7" s="1"/>
  <c r="I11" i="7" s="1"/>
  <c r="K11" i="7" s="1"/>
  <c r="K8" i="7"/>
  <c r="M38" i="1"/>
  <c r="K15" i="7" l="1"/>
  <c r="F15" i="1" s="1"/>
  <c r="O15" i="1" s="1"/>
  <c r="I15" i="7"/>
  <c r="M44" i="1"/>
  <c r="M58" i="1" s="1"/>
  <c r="M60" i="1" s="1"/>
  <c r="M71" i="1" s="1"/>
  <c r="O38" i="1"/>
  <c r="O44" i="1" s="1"/>
  <c r="F18" i="1" l="1"/>
  <c r="F20" i="1" l="1"/>
  <c r="F52" i="1" s="1"/>
  <c r="F55" i="1" s="1"/>
  <c r="O18" i="1"/>
  <c r="O20" i="1" s="1"/>
  <c r="O52" i="1" l="1"/>
  <c r="F56" i="1"/>
  <c r="F58" i="1" s="1"/>
  <c r="F60" i="1" s="1"/>
  <c r="F71" i="1" s="1"/>
  <c r="O55" i="1"/>
  <c r="O56" i="1" s="1"/>
  <c r="O58" i="1" s="1"/>
  <c r="O60" i="1" s="1"/>
  <c r="O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29" authorId="0" shapeId="0" xr:uid="{CCF41EA0-3547-504D-BE9E-06BB7961BD08}">
      <text>
        <r>
          <rPr>
            <b/>
            <sz val="10"/>
            <color rgb="FF000000"/>
            <rFont val="Tahoma"/>
            <family val="2"/>
          </rPr>
          <t>To include Mulch install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I38" authorId="0" shapeId="0" xr:uid="{1F6A791E-584F-8A44-811C-682A0CB0E340}">
      <text>
        <r>
          <rPr>
            <b/>
            <sz val="10"/>
            <color rgb="FF000000"/>
            <rFont val="Tahoma"/>
            <family val="2"/>
          </rPr>
          <t>Increased from $88,466 to include Starbucks share of (3.72%) $11,669.30 - not reflected on November Financials</t>
        </r>
      </text>
    </comment>
  </commentList>
</comments>
</file>

<file path=xl/sharedStrings.xml><?xml version="1.0" encoding="utf-8"?>
<sst xmlns="http://schemas.openxmlformats.org/spreadsheetml/2006/main" count="799" uniqueCount="425">
  <si>
    <t>Mercer Street Holdings Two, LLC-Midland Plaza (15264)</t>
  </si>
  <si>
    <t>Total</t>
  </si>
  <si>
    <t>INCOME</t>
  </si>
  <si>
    <t xml:space="preserve">   RENTAL INCOME</t>
  </si>
  <si>
    <t>4010-0000</t>
  </si>
  <si>
    <t xml:space="preserve">        Base Rent</t>
  </si>
  <si>
    <t xml:space="preserve">   TOTAL RENTAL INCOME</t>
  </si>
  <si>
    <t xml:space="preserve">   RECOVERIES</t>
  </si>
  <si>
    <t>5110-0000</t>
  </si>
  <si>
    <t xml:space="preserve">         CAM-Current Year</t>
  </si>
  <si>
    <t>5112-0000</t>
  </si>
  <si>
    <t xml:space="preserve">         RE Tax-Current Year</t>
  </si>
  <si>
    <t>5114-0000</t>
  </si>
  <si>
    <t xml:space="preserve">         Insurance-Current Year</t>
  </si>
  <si>
    <t>5111-0000</t>
  </si>
  <si>
    <t xml:space="preserve">         CAM-Annual Reimb</t>
  </si>
  <si>
    <t>5113-0000</t>
  </si>
  <si>
    <t xml:space="preserve">         RE Tax-Annual Reimb.</t>
  </si>
  <si>
    <t>5115-0000</t>
  </si>
  <si>
    <t xml:space="preserve">         Insurance-Annual Reimb.</t>
  </si>
  <si>
    <t xml:space="preserve">   TOTAL RECOVERIES</t>
  </si>
  <si>
    <t>TOTAL INCOME</t>
  </si>
  <si>
    <t>OPERATING EXPENSES</t>
  </si>
  <si>
    <t xml:space="preserve">   RECOVERABLE EXPENSE</t>
  </si>
  <si>
    <t xml:space="preserve">   COMMON AREA MAINT.</t>
  </si>
  <si>
    <t>6501-0000</t>
  </si>
  <si>
    <t xml:space="preserve">         Electricity</t>
  </si>
  <si>
    <t>6502-0000</t>
  </si>
  <si>
    <t xml:space="preserve">         Water &amp; Sewer</t>
  </si>
  <si>
    <t>6503-0000</t>
  </si>
  <si>
    <t xml:space="preserve">         Electrical/PL Lamps</t>
  </si>
  <si>
    <t>6504-0000</t>
  </si>
  <si>
    <t xml:space="preserve">         Plumbing</t>
  </si>
  <si>
    <t>6505-0000</t>
  </si>
  <si>
    <t xml:space="preserve">         Landscaping &amp; Gardening</t>
  </si>
  <si>
    <t>6506-0000</t>
  </si>
  <si>
    <t xml:space="preserve">         Parking Lot Sweep</t>
  </si>
  <si>
    <t>6507-0000</t>
  </si>
  <si>
    <t xml:space="preserve">         Snow Removal</t>
  </si>
  <si>
    <t>6508-0000</t>
  </si>
  <si>
    <t xml:space="preserve">         R&amp;M CAM</t>
  </si>
  <si>
    <t>6509-0000</t>
  </si>
  <si>
    <t xml:space="preserve">         Parking Lot Repairs</t>
  </si>
  <si>
    <t>6510-0000</t>
  </si>
  <si>
    <t>6590-0000</t>
  </si>
  <si>
    <t xml:space="preserve">         Groundskeeper</t>
  </si>
  <si>
    <t>6591-0000</t>
  </si>
  <si>
    <t xml:space="preserve">         Security</t>
  </si>
  <si>
    <t>6596-0000</t>
  </si>
  <si>
    <t>7874-0000</t>
  </si>
  <si>
    <t>TOTAL CAM</t>
  </si>
  <si>
    <t>FIXED EXPENSE</t>
  </si>
  <si>
    <t>6910-0000</t>
  </si>
  <si>
    <t xml:space="preserve">         Real Estate Taxes</t>
  </si>
  <si>
    <t>6921-0000</t>
  </si>
  <si>
    <t xml:space="preserve">         Property Insurance</t>
  </si>
  <si>
    <t xml:space="preserve">   TOTAL FIXED</t>
  </si>
  <si>
    <t>TOTAL RECOVERABLE</t>
  </si>
  <si>
    <t>NONRECOVERABLE EXPENSE</t>
  </si>
  <si>
    <t>REPAIR &amp; MAINT.(NON-CAM)</t>
  </si>
  <si>
    <t>7551-0000</t>
  </si>
  <si>
    <t xml:space="preserve">         General Maintenance</t>
  </si>
  <si>
    <t>7552-0000</t>
  </si>
  <si>
    <t xml:space="preserve">         Roof Repairs</t>
  </si>
  <si>
    <t>TOTAL REPAIR &amp; MAINT (NON-CAM)</t>
  </si>
  <si>
    <t xml:space="preserve">   OFFICE &amp; ADMINISTRATIVE</t>
  </si>
  <si>
    <t>7898-0001</t>
  </si>
  <si>
    <t xml:space="preserve">         Miscellaneous</t>
  </si>
  <si>
    <t xml:space="preserve">   TOTAL OFFICE &amp; ADMIN.</t>
  </si>
  <si>
    <t>TOTAL NONRECOVERABLE</t>
  </si>
  <si>
    <t>TOTAL OPERATING EXPENSE</t>
  </si>
  <si>
    <t>NET OPERATING INCOME</t>
  </si>
  <si>
    <t xml:space="preserve">   DEPRECIATION &amp; AMORT.</t>
  </si>
  <si>
    <t>9010-0000</t>
  </si>
  <si>
    <t xml:space="preserve">         Amort.-Lease Commissions</t>
  </si>
  <si>
    <t>9110-0000</t>
  </si>
  <si>
    <t xml:space="preserve">         Depreciation-Building</t>
  </si>
  <si>
    <t>TOTAL DEPRE. &amp; AMORT.</t>
  </si>
  <si>
    <t>INTEREST  &amp;  OTHER EXPENSE</t>
  </si>
  <si>
    <t>9510-0000</t>
  </si>
  <si>
    <t xml:space="preserve">         Interest-Cantor-Servicer</t>
  </si>
  <si>
    <t>9561-0000</t>
  </si>
  <si>
    <t>TOTAL INTEREST/OTHER</t>
  </si>
  <si>
    <t>NET INCOME</t>
  </si>
  <si>
    <t>MINIMUM RENT</t>
  </si>
  <si>
    <t xml:space="preserve"> </t>
  </si>
  <si>
    <t>SPACE</t>
  </si>
  <si>
    <t>TENANT</t>
  </si>
  <si>
    <t>SQUARE FT.</t>
  </si>
  <si>
    <t>EXPIRATION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</si>
  <si>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</si>
  <si>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</si>
  <si>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</si>
  <si>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</si>
  <si>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</si>
  <si>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</si>
  <si>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</si>
  <si>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</si>
  <si>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</si>
  <si>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</si>
  <si>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</si>
  <si>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</si>
  <si>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</si>
  <si>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Starbuck's</t>
  </si>
  <si>
    <t>3315A</t>
  </si>
  <si>
    <t>Beverly's</t>
  </si>
  <si>
    <t>3315B</t>
  </si>
  <si>
    <t>Conn's Appliances</t>
  </si>
  <si>
    <t>3315D</t>
  </si>
  <si>
    <t>Chipotle</t>
  </si>
  <si>
    <t>3315E</t>
  </si>
  <si>
    <t xml:space="preserve">Vacant  </t>
  </si>
  <si>
    <t>Panera Bread</t>
  </si>
  <si>
    <t>Schlotzsky's</t>
  </si>
  <si>
    <t>TOTAL RENTAL INCOME</t>
  </si>
  <si>
    <t>Midland Center</t>
  </si>
  <si>
    <t>Recoveries Calculation Report</t>
  </si>
  <si>
    <t>Estimated</t>
  </si>
  <si>
    <t>Conn's</t>
  </si>
  <si>
    <t>CAM</t>
  </si>
  <si>
    <t xml:space="preserve">Pool </t>
  </si>
  <si>
    <t>Pool I</t>
  </si>
  <si>
    <t>CAPS</t>
  </si>
  <si>
    <t>Pool II</t>
  </si>
  <si>
    <t>Pool III</t>
  </si>
  <si>
    <t>Pool IV</t>
  </si>
  <si>
    <t>Electricity</t>
  </si>
  <si>
    <t>Water &amp; Sewer</t>
  </si>
  <si>
    <t xml:space="preserve">  </t>
  </si>
  <si>
    <t>Electrical</t>
  </si>
  <si>
    <t>Plumbing</t>
  </si>
  <si>
    <t>Landscaping &amp; Gardening</t>
  </si>
  <si>
    <t>Landscaping R&amp;M</t>
  </si>
  <si>
    <t>Parking Lot Sweeps</t>
  </si>
  <si>
    <t>Snow Removal</t>
  </si>
  <si>
    <t>R&amp;M CAM</t>
  </si>
  <si>
    <t>Parking Lot Repairs/Stripe</t>
  </si>
  <si>
    <t>Groundskeeper</t>
  </si>
  <si>
    <t>Security</t>
  </si>
  <si>
    <t>Pest Control</t>
  </si>
  <si>
    <t>Signage</t>
  </si>
  <si>
    <t>Roof Repairs</t>
  </si>
  <si>
    <t>n/a</t>
  </si>
  <si>
    <t>omit N/A per Erin</t>
  </si>
  <si>
    <t>Exterior Repairs</t>
  </si>
  <si>
    <t xml:space="preserve">Fire Control   </t>
  </si>
  <si>
    <t>Management Fees</t>
  </si>
  <si>
    <t xml:space="preserve">         Sub-Total:</t>
  </si>
  <si>
    <t>no</t>
  </si>
  <si>
    <t xml:space="preserve">              TAXES</t>
  </si>
  <si>
    <t>Total CAM Expenses</t>
  </si>
  <si>
    <t>Recovery Exp Pool</t>
  </si>
  <si>
    <t>Tenant SF</t>
  </si>
  <si>
    <t>Based on Building     SF</t>
  </si>
  <si>
    <t>Tenant Area Share</t>
  </si>
  <si>
    <t>Recovery Days</t>
  </si>
  <si>
    <t>Days as Fraction</t>
  </si>
  <si>
    <t>Tenant Share</t>
  </si>
  <si>
    <t>Tenant Charged</t>
  </si>
  <si>
    <t>Amount Due to/from</t>
  </si>
  <si>
    <t>no cam</t>
  </si>
  <si>
    <t>Vacant</t>
  </si>
  <si>
    <t>#'s in green don't pay monthly/only annually</t>
  </si>
  <si>
    <t>Tenant         Area          Share</t>
  </si>
  <si>
    <t>Billed</t>
  </si>
  <si>
    <t>Total Due</t>
  </si>
  <si>
    <t>Main Parcel</t>
  </si>
  <si>
    <t>Panera/Schlotzsky's</t>
  </si>
  <si>
    <t xml:space="preserve">           Their square footage is based on the Lease Agreement (actual sf is 5,000) to the total sq ft of the Center, less Starbucks</t>
  </si>
  <si>
    <t>Based on Building         SF</t>
  </si>
  <si>
    <t>Tenant Charges</t>
  </si>
  <si>
    <t>in cam</t>
  </si>
  <si>
    <t xml:space="preserve">                    Controllable CAM costs are Capped at 10% over prior year amount</t>
  </si>
  <si>
    <t xml:space="preserve">                     Controllable costs do not include TAX, Utilities, Snow &amp; Ice. (Section 10.3)</t>
  </si>
  <si>
    <t>CHIPOTLE:</t>
  </si>
  <si>
    <t xml:space="preserve"> Controllable CAM costs are Capped at 10% over prior year amount</t>
  </si>
  <si>
    <t>COMMON AREA MAINTENANCE</t>
  </si>
  <si>
    <t>Pays one CAM charge-No TAX or INS charge</t>
  </si>
  <si>
    <t>No CAM</t>
  </si>
  <si>
    <t>TOTAL CAM INCOME</t>
  </si>
  <si>
    <t>REAL ESTATE TAXES</t>
  </si>
  <si>
    <t>Only pays annually</t>
  </si>
  <si>
    <t>TOTAL REAL ESTATE TAX  INCOME</t>
  </si>
  <si>
    <t xml:space="preserve">INSURANCE </t>
  </si>
  <si>
    <t>TOTAL INSURANCE INCOME</t>
  </si>
  <si>
    <t xml:space="preserve">   Controllable costs do not include TAX, Insurance, Utilities, Snow &amp; Ice. (Section 10.3)</t>
  </si>
  <si>
    <t>CHIPOTLE CAM Can Not include MGMT Fees</t>
  </si>
  <si>
    <t>Add actual amounts for utilities &amp; snow</t>
  </si>
  <si>
    <t>5% of CAM</t>
  </si>
  <si>
    <t>CONN'S:</t>
  </si>
  <si>
    <t>MGMT fee can not exceed 5% of the CAM charge (not including MGMT fee, taxes &amp; INS)</t>
  </si>
  <si>
    <t>5% over PY</t>
  </si>
  <si>
    <t>Starbucks:  CAM (not just controllable expenses; ALL CAM) can not exceed 5% over prior year. MGMT fees can not exceed 10% of CAM</t>
  </si>
  <si>
    <t>4% of monthly collections</t>
  </si>
  <si>
    <t>Actual</t>
  </si>
  <si>
    <t>Actual+</t>
  </si>
  <si>
    <t>4000-0000</t>
  </si>
  <si>
    <t xml:space="preserve"> INCOME</t>
  </si>
  <si>
    <t>4009-0000</t>
  </si>
  <si>
    <t xml:space="preserve"> RENTAL INCOME</t>
  </si>
  <si>
    <t xml:space="preserve">     Base Rent</t>
  </si>
  <si>
    <t>4015-0000</t>
  </si>
  <si>
    <t xml:space="preserve">     Prepaid Rent</t>
  </si>
  <si>
    <t>4099-9999</t>
  </si>
  <si>
    <t xml:space="preserve"> TOTAL RENTAL INCOME</t>
  </si>
  <si>
    <t>5000-0000</t>
  </si>
  <si>
    <t xml:space="preserve"> RECOVERIES</t>
  </si>
  <si>
    <t xml:space="preserve">     CAM- CY (Retail)</t>
  </si>
  <si>
    <t xml:space="preserve">     CAM Annual Reimbursements</t>
  </si>
  <si>
    <t xml:space="preserve">     R.E. TAX - CY (Retail)</t>
  </si>
  <si>
    <t xml:space="preserve">     Retail R.E. Tax Esc - PY</t>
  </si>
  <si>
    <t xml:space="preserve">     Insurance-CY (Retail)</t>
  </si>
  <si>
    <t xml:space="preserve">     Retail Ins.-Annual. Reimb.</t>
  </si>
  <si>
    <t>5199-9999</t>
  </si>
  <si>
    <t xml:space="preserve"> TOTAL RECOVERIES</t>
  </si>
  <si>
    <t>5999-9999</t>
  </si>
  <si>
    <t xml:space="preserve"> TOTAL INCOME</t>
  </si>
  <si>
    <t>6000-0000</t>
  </si>
  <si>
    <t xml:space="preserve"> OPERATING EXPENSES</t>
  </si>
  <si>
    <t>6000-7000</t>
  </si>
  <si>
    <t xml:space="preserve"> Recoverable Expenses</t>
  </si>
  <si>
    <t>6500-0000</t>
  </si>
  <si>
    <t xml:space="preserve"> COMMON AREA MAINTENANCE</t>
  </si>
  <si>
    <t xml:space="preserve">     Electricity</t>
  </si>
  <si>
    <t xml:space="preserve">     Water &amp; Sewer</t>
  </si>
  <si>
    <t xml:space="preserve">     Electrical</t>
  </si>
  <si>
    <t xml:space="preserve">     Plumbing</t>
  </si>
  <si>
    <t xml:space="preserve">     Landscaping &amp; Gardening</t>
  </si>
  <si>
    <t xml:space="preserve">     Parking Lot Sweep</t>
  </si>
  <si>
    <t xml:space="preserve">     Snow Removal</t>
  </si>
  <si>
    <t xml:space="preserve">     General</t>
  </si>
  <si>
    <t xml:space="preserve">     Parking Lot Repairs</t>
  </si>
  <si>
    <t xml:space="preserve">     Groundskeeper</t>
  </si>
  <si>
    <t xml:space="preserve">     Security</t>
  </si>
  <si>
    <t xml:space="preserve">     Roof Maint./Gutter/Awnings</t>
  </si>
  <si>
    <t>6599-9999</t>
  </si>
  <si>
    <t xml:space="preserve"> TOTAL CAM</t>
  </si>
  <si>
    <t>6799-9999</t>
  </si>
  <si>
    <t xml:space="preserve"> TOTAL VARIABLE EXPENSES</t>
  </si>
  <si>
    <t>6900-0000</t>
  </si>
  <si>
    <t xml:space="preserve"> FIXED EXPENSES</t>
  </si>
  <si>
    <t>6916-0004</t>
  </si>
  <si>
    <t>6916-0006</t>
  </si>
  <si>
    <t xml:space="preserve">     Building Insurance</t>
  </si>
  <si>
    <t>6998-9999</t>
  </si>
  <si>
    <t xml:space="preserve"> TOTAL FIXED EXPENSES</t>
  </si>
  <si>
    <t>6999-9999</t>
  </si>
  <si>
    <t xml:space="preserve"> TOTAL RECOVERABLE EXPENSES</t>
  </si>
  <si>
    <t>7000-0000</t>
  </si>
  <si>
    <t xml:space="preserve"> NONRECOVERABLE EXPENSES</t>
  </si>
  <si>
    <t>7300-0000</t>
  </si>
  <si>
    <t xml:space="preserve"> VACANT EXPENSE RETAIL</t>
  </si>
  <si>
    <t>7500-0000</t>
  </si>
  <si>
    <t xml:space="preserve"> REPAIRS &amp; MAINT (NON-CAM)</t>
  </si>
  <si>
    <t xml:space="preserve">     General Maintenance</t>
  </si>
  <si>
    <t xml:space="preserve">     Roof Repairs</t>
  </si>
  <si>
    <t>7599-9999</t>
  </si>
  <si>
    <t xml:space="preserve"> TOTAL REPAIRS &amp; MAINT.  (NON-CAM)</t>
  </si>
  <si>
    <t>7870-0000</t>
  </si>
  <si>
    <t xml:space="preserve"> OFFICE &amp; ADMINISTRATIVE</t>
  </si>
  <si>
    <t xml:space="preserve">     Management Fees</t>
  </si>
  <si>
    <t xml:space="preserve">     Miscellaneous # 1</t>
  </si>
  <si>
    <t>7899-9999</t>
  </si>
  <si>
    <t xml:space="preserve"> TOTAL OFFICE &amp; ADMINISTRATIVE</t>
  </si>
  <si>
    <t>7995-9999</t>
  </si>
  <si>
    <t xml:space="preserve"> TOTAL NONRECOVERABLE EXPENSES</t>
  </si>
  <si>
    <t>7996-9999</t>
  </si>
  <si>
    <t xml:space="preserve"> TOTAL OPERATING EXPENSES</t>
  </si>
  <si>
    <t>7999-9999</t>
  </si>
  <si>
    <t xml:space="preserve"> NET OPERATING INCOME</t>
  </si>
  <si>
    <t>9000-0000</t>
  </si>
  <si>
    <t xml:space="preserve"> DEPRECIATION &amp; FINANCIAL EXPENSES</t>
  </si>
  <si>
    <t>9002-0000</t>
  </si>
  <si>
    <t xml:space="preserve"> AMORTIZATION EXPENSE</t>
  </si>
  <si>
    <t xml:space="preserve">     Amort. Expense  Lease Comm</t>
  </si>
  <si>
    <t>9099-9999</t>
  </si>
  <si>
    <t xml:space="preserve"> TOTAL AMORTIZATION</t>
  </si>
  <si>
    <t>9100-0000</t>
  </si>
  <si>
    <t xml:space="preserve"> DEPRECIATION EXPENSE</t>
  </si>
  <si>
    <t xml:space="preserve">     Depreciation  Expense - Building</t>
  </si>
  <si>
    <t>9198-9999</t>
  </si>
  <si>
    <t xml:space="preserve"> TOTAL DEPRECIATION</t>
  </si>
  <si>
    <t>9199-9999</t>
  </si>
  <si>
    <t xml:space="preserve"> TOTAL AMORT &amp; DEPREC</t>
  </si>
  <si>
    <t>9500-0000</t>
  </si>
  <si>
    <t xml:space="preserve"> INTEREST EXPENSE</t>
  </si>
  <si>
    <t xml:space="preserve">     Interest Expense  - 1st Mort.</t>
  </si>
  <si>
    <t xml:space="preserve">     Preferred Return</t>
  </si>
  <si>
    <t>9599-9999</t>
  </si>
  <si>
    <t xml:space="preserve"> TOTAL INTEREST EXPENSE</t>
  </si>
  <si>
    <t>9700-9999</t>
  </si>
  <si>
    <t xml:space="preserve"> TOTAL DEPRECIATION &amp; FINANCIAL EXP</t>
  </si>
  <si>
    <t>9750-9999</t>
  </si>
  <si>
    <t xml:space="preserve"> NET INCOME</t>
  </si>
  <si>
    <t>Reforecast</t>
  </si>
  <si>
    <t>Comments</t>
  </si>
  <si>
    <t xml:space="preserve">        Roof Maint./Gutter/Awnings</t>
  </si>
  <si>
    <t xml:space="preserve">        Management Fee</t>
  </si>
  <si>
    <t>Rent Steps:
11/2024 - $11,098.30
11/2029 - $12,207.70
11/2034 - $13,428.47</t>
  </si>
  <si>
    <t>Rent Steps:
6/2023 - $8,559.50
6/2025 - $8,730.69</t>
  </si>
  <si>
    <t>COMMENTS</t>
  </si>
  <si>
    <t xml:space="preserve">         Power washing</t>
  </si>
  <si>
    <t>Power washing</t>
  </si>
  <si>
    <t xml:space="preserve">Administrative Fee </t>
  </si>
  <si>
    <t>2021 Controllable 10% cap</t>
  </si>
  <si>
    <t>2021 5% Cam Cap</t>
  </si>
  <si>
    <t>2020 Controllable</t>
  </si>
  <si>
    <t xml:space="preserve">         Beverly's --    (1) Based on total square footage of building 41,893 - per their lease agreement. Pays one charge for Cam, Tax &amp; Ins</t>
  </si>
  <si>
    <t xml:space="preserve">        Chipotle &amp; Conn's ---      (2) Based on total square footage of the building where their premises are located.  </t>
  </si>
  <si>
    <t xml:space="preserve">      Panera ---      (3) Per lease, Panera's sq. ft. is 5,160 (reg footage is 4,860).  PR is total square footage of the entire shopping center - 53,973</t>
  </si>
  <si>
    <t xml:space="preserve">         Shlotzsky's ---   (4) Per lease, Schlotzsky's sq. ft. is 5,300 (reg footage is 5,000).  PR is total sq ft of the Center - 53,973</t>
  </si>
  <si>
    <t xml:space="preserve">Erin T. Notes: </t>
  </si>
  <si>
    <t>Rec History Insurance</t>
  </si>
  <si>
    <t>Rec History Tax</t>
  </si>
  <si>
    <t>Rec History CAM</t>
  </si>
  <si>
    <t>*Reflects Main Parcel Taxes Only</t>
  </si>
  <si>
    <t>Beverly's - (1) Based on total square footage of building 41,893 - per their lease agreement</t>
  </si>
  <si>
    <t xml:space="preserve">Chipotle &amp; Conn's - (2) Based on total square footage of the building where their premises are located - 42,113 </t>
  </si>
  <si>
    <t>Panera - (3) Based on total square footage of the Panera and Schlotzsky's buildings - 9,860.</t>
  </si>
  <si>
    <t>Starbucks - (5) Based on 100% of the tax bill that is separate for that parcel.</t>
  </si>
  <si>
    <t>Scholtzsky's - (4) Schlotzsky's charges include the following Tax Bills:  1-main bldg of $66,555 and 2-parcel that  Schl &amp; Panera sit on of $17,725</t>
  </si>
  <si>
    <t xml:space="preserve">  Beverly's -  (1) Based on total square footage of building 41,893 - per their lease agreement</t>
  </si>
  <si>
    <t>Chipotle/Conn's - (2) Based on total square footage of the building where their premises are located - 42,113 = 78.02% of total sf 53,973</t>
  </si>
  <si>
    <t xml:space="preserve">                Panera -   (3) Based on the lease agreement sq. ft. of 5,160 (reg footage is 4,860) to the total sq ft of bldg. where their premises are located  - 42,113 = 78.02% of total sf 53,973 </t>
  </si>
  <si>
    <t xml:space="preserve">               Schlotzsky's -  (4) Schlotzsky's sq. ft. is based on the lease agreement sq. ft. of 5,300 (reg footage is 5,000) to the total sq ft of the Center.</t>
  </si>
  <si>
    <t>Starbucks - (5) Based on 3.71% of total sf</t>
  </si>
  <si>
    <t>Erin T Notes</t>
  </si>
  <si>
    <t>Beverly's, Chipotle, Conn's, Vacant = 42,113sf</t>
  </si>
  <si>
    <t xml:space="preserve">        Starbuck's ---    (5) Based on total square footage of the entire shopping center - 53,973</t>
  </si>
  <si>
    <t>2610-0000</t>
  </si>
  <si>
    <t xml:space="preserve">         Mortgage Payable</t>
  </si>
  <si>
    <t xml:space="preserve">     Legal &amp; Professional Fees</t>
  </si>
  <si>
    <t>7882-0000</t>
  </si>
  <si>
    <t xml:space="preserve">     Property Tax-Tenant Specific</t>
  </si>
  <si>
    <t xml:space="preserve">     Real Estate Taxes-Tenant Specific</t>
  </si>
  <si>
    <t xml:space="preserve">     Real Estate Taxes</t>
  </si>
  <si>
    <t xml:space="preserve">     Powerwashing</t>
  </si>
  <si>
    <t xml:space="preserve">     Landscaping R&amp;M</t>
  </si>
  <si>
    <t>6505-2000</t>
  </si>
  <si>
    <t>Dec 2022</t>
  </si>
  <si>
    <t>Nov 2022</t>
  </si>
  <si>
    <t>Oct 2022</t>
  </si>
  <si>
    <t>Sep 2022</t>
  </si>
  <si>
    <t>Aug 2022</t>
  </si>
  <si>
    <t>Jul 2022</t>
  </si>
  <si>
    <t>Jun 2022</t>
  </si>
  <si>
    <t>May 2022</t>
  </si>
  <si>
    <t>Apr 2022</t>
  </si>
  <si>
    <t>Mar 2022</t>
  </si>
  <si>
    <t>Feb 2022</t>
  </si>
  <si>
    <t>Jan 2022</t>
  </si>
  <si>
    <t>2022 Reforecast</t>
  </si>
  <si>
    <t xml:space="preserve">        Prepaid Rent</t>
  </si>
  <si>
    <t>Pulled from "Rent" tab</t>
  </si>
  <si>
    <t>Added category Prepaid Rent to reflect 2022 Reforecast</t>
  </si>
  <si>
    <t xml:space="preserve">         Legal &amp; Professional Fess</t>
  </si>
  <si>
    <t>MIDLAND 2023</t>
  </si>
  <si>
    <t>Monthly Cam charged based on current charges per Yardi</t>
  </si>
  <si>
    <t>Monthly Tax charged based on current charges per Yardi</t>
  </si>
  <si>
    <t>Monthly Insurance charged based on current charges per Yardi</t>
  </si>
  <si>
    <t>Pulled from "Tax" tab</t>
  </si>
  <si>
    <t>Pulled from "CAM" tab</t>
  </si>
  <si>
    <t>Pulled from "Ins" tab</t>
  </si>
  <si>
    <t>CAM Pools - 2022</t>
  </si>
  <si>
    <r>
      <rPr>
        <b/>
        <sz val="11"/>
        <rFont val="Times New Roman"/>
        <family val="1"/>
      </rPr>
      <t>ADD IN:</t>
    </r>
    <r>
      <rPr>
        <sz val="11"/>
        <rFont val="Times New Roman"/>
        <family val="1"/>
      </rPr>
      <t xml:space="preserve">  INSURANCE</t>
    </r>
  </si>
  <si>
    <t>2022 
Actual/Reforecast</t>
  </si>
  <si>
    <t>2022 5% Cam Cap</t>
  </si>
  <si>
    <t>2022 10% Cap</t>
  </si>
  <si>
    <t>2022 Controllable Costs</t>
  </si>
  <si>
    <t>10% over PY</t>
  </si>
  <si>
    <t>*</t>
  </si>
  <si>
    <t xml:space="preserve">Estimated 2022 CAM Reconciliations </t>
  </si>
  <si>
    <t>Beverly's Pancake House  (1)</t>
  </si>
  <si>
    <t>Chipotle Mexican Grill  (2)</t>
  </si>
  <si>
    <t>Conn Appliances    (2)</t>
  </si>
  <si>
    <t>Panera Bread (3)</t>
  </si>
  <si>
    <t>Starbuck's  (5)</t>
  </si>
  <si>
    <t>2019 Rec - charged 3,767.96
2020 Rec - charged 1,402.27
2021 Rec - charged 5,521.23</t>
  </si>
  <si>
    <t>2019 Rec - credit (328.72)
2020 Rec - charged 127.96
2021 Rec - charged 688.84</t>
  </si>
  <si>
    <t>2019 - charged 500.72
2020 - charged 745.03
2021 - charged 961.22</t>
  </si>
  <si>
    <t>2018 Rec - credit (199.34)
2019 Rec - credit (454.98)
2020 Rec - credit (298.93)
2021 Rec - charged 408.47</t>
  </si>
  <si>
    <t>2019 - (9,193.98)
2020 - (7,128.60)
2021 - (4,178.63)</t>
  </si>
  <si>
    <t>2019 - 5,782.06
2020 - 8,606.20
2021 - 11,105.34</t>
  </si>
  <si>
    <t>2018 - (2,237.43)
2019 - (5,192.55)
2020 - (3,388.65)
2021- 4,788.76</t>
  </si>
  <si>
    <t>2019 - 10,337.92
2020 - 11,019.67
2021 - 11,438.44</t>
  </si>
  <si>
    <t>2019 - 2,214.18
2020 - 2,510.76
2021- 3,855.21</t>
  </si>
  <si>
    <t>2019 - 5,646.42
2020 - 2,465.05
2021- 5,174.38</t>
  </si>
  <si>
    <t>2019 - 782.49
2020 - 1,301.78
2021- 1,725.35</t>
  </si>
  <si>
    <t>2019 - (881.75)
2020 - (577.12)
2021- 803.80</t>
  </si>
  <si>
    <t>2019 - (483.75)
2020 - (377.78)
2021 - (227.67)</t>
  </si>
  <si>
    <t>2019 - 6,406.76
2020 - 6,829.17
2021- 286.43</t>
  </si>
  <si>
    <t>2019 - 859.24
2020 - 974.33
2021- 1,496.06</t>
  </si>
  <si>
    <t>Tax &amp; Ins Included</t>
  </si>
  <si>
    <t>Conn Appliances  (2)</t>
  </si>
  <si>
    <t>Panera Bread  (3)</t>
  </si>
  <si>
    <t>Schlotzsky's  (4)</t>
  </si>
  <si>
    <t>Starbuck's   (5)</t>
  </si>
  <si>
    <t>Estimated 2022 Tax Reconciliation</t>
  </si>
  <si>
    <t>Above highlighted was pulled from the lease. 2021 Rec Billing reflects a CAM Cap (including Mgt. Fee) at 44,373.12</t>
  </si>
  <si>
    <t>Share of 2022</t>
  </si>
  <si>
    <t>2022 Taxes</t>
  </si>
  <si>
    <t>Schlotzsky's (4)</t>
  </si>
  <si>
    <t>Per Lease: CAM (not just controllable expenses; ALL CAM) can not exceed 5% over prior year. MGMT fees can not exceed 10% of CAM.
- Cam Cap based off 2021 Rec billed cap + Mgt fee</t>
  </si>
  <si>
    <t>2022 Parcel % of Total Insurance</t>
  </si>
  <si>
    <t>Projected 2022 Total  Insurance:</t>
  </si>
  <si>
    <t>77% for parcel 42,113sf:</t>
  </si>
  <si>
    <t>3.7% for Starbucks parcel 2,000sf:</t>
  </si>
  <si>
    <t xml:space="preserve">The Rec Calculation does not match the calculation process used in the 2021 Reconciliation billing as per the lease only Controllable (Not including Utilities, Snow Removal, Management Fee) has a Cap. However the 2021 Billing had the Cap applied to all CAM expenses  
- Closer look needed at Chipotle Rec Calculation. </t>
  </si>
  <si>
    <t>2021 Rec Billing shows a CAM Cap (including Mgt)
However in glancing at the lease I only see a 5% Cap on Mgt Fee. 
If 5% over 44,373.12 (CAM Cap used in 2021 Billing) is applied (46,592) the tenant would receive a CAM Rec credit of (2,525)</t>
  </si>
  <si>
    <t>per 2021 Rec. Tenant Billings</t>
  </si>
  <si>
    <t>2021 Cap per Rec Billing (including utilities, snow, mgt. fee)</t>
  </si>
  <si>
    <t>2022 Controllable</t>
  </si>
  <si>
    <t>Increased to add day patrol - increasing homeless population</t>
  </si>
  <si>
    <t>Yardi and Banking fees</t>
  </si>
  <si>
    <t>2023 BUDGET</t>
  </si>
  <si>
    <t>TT PR share of applicable $313,691 repavement job, plus prior pavement repairs</t>
  </si>
  <si>
    <t>Estimated 2022 Insurance Reconciliation</t>
  </si>
  <si>
    <t xml:space="preserve">Prior Year Notes </t>
  </si>
  <si>
    <t>Reflects "2022 Cam Rec" Tab</t>
  </si>
  <si>
    <t>Reflects "2022 Tax Rec" Tab</t>
  </si>
  <si>
    <t>Reflects "2022 Ins Rec" Tab</t>
  </si>
  <si>
    <t>Includes other two Taxes categories reflected on the Reforecast</t>
  </si>
  <si>
    <t>Page Revised to reflect the Actual 2021 Reconciliation Billing calculations that were billed.
Building Total SF - Adjusted to reflect 2021 Reconciliation Billing</t>
  </si>
  <si>
    <t xml:space="preserve">
* Note Total building square footage adjusted to match Yardi RR from 53,973 to 54,573
Panera adjusted from 4,860 to 5,160  (300sf)
Schlotzky's adjusted from 5,000 to 5,300 (300sf) 
* Being that the Actual CAM charges (per 2021 Actuals) reflect the total property, Column E has been adjusted to reflect the total property square footage in order for the tenant pro-rata shares to calculate properly**</t>
  </si>
  <si>
    <t>2022 figures - need updated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</si>
</sst>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m/d/yy;@"/>
    <numFmt numFmtId="166" formatCode="_(* #,##0_);_(* \(#,##0\);_(* &quot;-&quot;??_);_(@_)"/>
    <numFmt numFmtId="167" formatCode="0.0%"/>
    <numFmt numFmtId="168" formatCode="_(* #,##0.0000_);_(* \(#,##0.0000\);_(* &quot;-&quot;??_);_(@_)"/>
    <numFmt numFmtId="169" formatCode="_(* #,##0.000_);_(* \(#,##0.000\);_(* &quot;-&quot;??_);_(@_)"/>
    <numFmt numFmtId="170" formatCode="#,##0.0000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 val="singleAccounting"/>
      <sz val="1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u/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CCCC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8">
    <xf numFmtId="0" fontId="0" fillId="0" borderId="0" xfId="0"/>
    <xf numFmtId="0" fontId="5" fillId="0" borderId="0" xfId="0" applyFont="1"/>
    <xf numFmtId="3" fontId="6" fillId="0" borderId="2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5" fillId="4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3" fontId="5" fillId="4" borderId="0" xfId="0" applyNumberFormat="1" applyFont="1" applyFill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6" fillId="4" borderId="0" xfId="0" applyNumberFormat="1" applyFont="1" applyFill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4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4" borderId="22" xfId="0" applyNumberFormat="1" applyFont="1" applyFill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3" fontId="6" fillId="4" borderId="2" xfId="0" applyNumberFormat="1" applyFont="1" applyFill="1" applyBorder="1" applyAlignment="1">
      <alignment horizontal="right" vertical="center"/>
    </xf>
    <xf numFmtId="3" fontId="6" fillId="4" borderId="21" xfId="0" applyNumberFormat="1" applyFont="1" applyFill="1" applyBorder="1" applyAlignment="1">
      <alignment horizontal="right" vertical="center"/>
    </xf>
    <xf numFmtId="0" fontId="6" fillId="10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10" borderId="2" xfId="0" applyFont="1" applyFill="1" applyBorder="1" applyAlignment="1">
      <alignment horizontal="right" vertical="center"/>
    </xf>
    <xf numFmtId="0" fontId="6" fillId="10" borderId="0" xfId="0" applyFont="1" applyFill="1" applyAlignment="1">
      <alignment horizontal="right" vertical="center"/>
    </xf>
    <xf numFmtId="3" fontId="5" fillId="10" borderId="0" xfId="0" applyNumberFormat="1" applyFont="1" applyFill="1" applyAlignment="1">
      <alignment horizontal="right" vertical="center"/>
    </xf>
    <xf numFmtId="0" fontId="7" fillId="0" borderId="0" xfId="0" applyFont="1"/>
    <xf numFmtId="3" fontId="5" fillId="10" borderId="1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10" borderId="2" xfId="0" applyNumberFormat="1" applyFont="1" applyFill="1" applyBorder="1" applyAlignment="1">
      <alignment horizontal="right" vertical="center"/>
    </xf>
    <xf numFmtId="3" fontId="6" fillId="1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wrapText="1"/>
    </xf>
    <xf numFmtId="3" fontId="6" fillId="0" borderId="7" xfId="0" applyNumberFormat="1" applyFont="1" applyBorder="1" applyAlignment="1">
      <alignment horizontal="right" vertical="center"/>
    </xf>
    <xf numFmtId="3" fontId="6" fillId="10" borderId="7" xfId="0" applyNumberFormat="1" applyFont="1" applyFill="1" applyBorder="1" applyAlignment="1">
      <alignment horizontal="right" vertical="center"/>
    </xf>
    <xf numFmtId="3" fontId="6" fillId="4" borderId="7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3" fontId="5" fillId="10" borderId="0" xfId="0" applyNumberFormat="1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3" fontId="5" fillId="10" borderId="5" xfId="0" applyNumberFormat="1" applyFont="1" applyFill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10" borderId="4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10" borderId="0" xfId="0" applyNumberFormat="1" applyFont="1" applyFill="1" applyAlignment="1">
      <alignment horizontal="right" vertical="center"/>
    </xf>
    <xf numFmtId="4" fontId="6" fillId="4" borderId="0" xfId="0" applyNumberFormat="1" applyFont="1" applyFill="1" applyAlignment="1">
      <alignment horizontal="right" vertical="center"/>
    </xf>
    <xf numFmtId="0" fontId="7" fillId="0" borderId="0" xfId="0" applyFont="1" applyAlignment="1">
      <alignment wrapText="1"/>
    </xf>
    <xf numFmtId="3" fontId="5" fillId="0" borderId="3" xfId="0" applyNumberFormat="1" applyFont="1" applyBorder="1" applyAlignment="1">
      <alignment horizontal="right" vertical="center"/>
    </xf>
    <xf numFmtId="3" fontId="5" fillId="10" borderId="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14" fontId="5" fillId="0" borderId="0" xfId="0" applyNumberFormat="1" applyFont="1" applyAlignment="1">
      <alignment horizontal="right"/>
    </xf>
    <xf numFmtId="37" fontId="5" fillId="0" borderId="0" xfId="0" applyNumberFormat="1" applyFont="1"/>
    <xf numFmtId="14" fontId="5" fillId="0" borderId="0" xfId="0" applyNumberFormat="1" applyFont="1"/>
    <xf numFmtId="0" fontId="10" fillId="0" borderId="0" xfId="0" applyFont="1" applyAlignment="1">
      <alignment wrapText="1"/>
    </xf>
    <xf numFmtId="3" fontId="5" fillId="0" borderId="5" xfId="0" applyNumberFormat="1" applyFont="1" applyBorder="1"/>
    <xf numFmtId="14" fontId="5" fillId="0" borderId="5" xfId="0" applyNumberFormat="1" applyFont="1" applyBorder="1" applyAlignment="1">
      <alignment horizontal="right"/>
    </xf>
    <xf numFmtId="37" fontId="5" fillId="0" borderId="5" xfId="0" applyNumberFormat="1" applyFont="1" applyBorder="1"/>
    <xf numFmtId="37" fontId="6" fillId="0" borderId="5" xfId="0" applyNumberFormat="1" applyFont="1" applyBorder="1"/>
    <xf numFmtId="39" fontId="5" fillId="0" borderId="0" xfId="0" applyNumberFormat="1" applyFont="1" applyAlignment="1">
      <alignment wrapText="1"/>
    </xf>
    <xf numFmtId="164" fontId="5" fillId="0" borderId="0" xfId="0" applyNumberFormat="1" applyFont="1"/>
    <xf numFmtId="0" fontId="8" fillId="4" borderId="6" xfId="0" applyFont="1" applyFill="1" applyBorder="1" applyAlignment="1">
      <alignment horizontal="left"/>
    </xf>
    <xf numFmtId="0" fontId="8" fillId="4" borderId="6" xfId="0" applyFont="1" applyFill="1" applyBorder="1"/>
    <xf numFmtId="164" fontId="5" fillId="4" borderId="6" xfId="0" applyNumberFormat="1" applyFont="1" applyFill="1" applyBorder="1"/>
    <xf numFmtId="37" fontId="5" fillId="4" borderId="6" xfId="0" applyNumberFormat="1" applyFont="1" applyFill="1" applyBorder="1"/>
    <xf numFmtId="170" fontId="5" fillId="0" borderId="0" xfId="0" applyNumberFormat="1" applyFont="1"/>
    <xf numFmtId="39" fontId="5" fillId="0" borderId="0" xfId="0" applyNumberFormat="1" applyFont="1"/>
    <xf numFmtId="0" fontId="5" fillId="8" borderId="0" xfId="0" applyFont="1" applyFill="1"/>
    <xf numFmtId="0" fontId="6" fillId="0" borderId="4" xfId="0" applyFont="1" applyBorder="1" applyAlignment="1">
      <alignment horizontal="right"/>
    </xf>
    <xf numFmtId="37" fontId="6" fillId="0" borderId="0" xfId="0" applyNumberFormat="1" applyFont="1"/>
    <xf numFmtId="37" fontId="6" fillId="4" borderId="6" xfId="0" applyNumberFormat="1" applyFont="1" applyFill="1" applyBorder="1"/>
    <xf numFmtId="37" fontId="6" fillId="4" borderId="23" xfId="0" applyNumberFormat="1" applyFont="1" applyFill="1" applyBorder="1"/>
    <xf numFmtId="37" fontId="6" fillId="0" borderId="24" xfId="0" applyNumberFormat="1" applyFont="1" applyBorder="1"/>
    <xf numFmtId="37" fontId="6" fillId="0" borderId="25" xfId="0" applyNumberFormat="1" applyFont="1" applyBorder="1"/>
    <xf numFmtId="37" fontId="6" fillId="0" borderId="26" xfId="0" applyNumberFormat="1" applyFont="1" applyBorder="1"/>
    <xf numFmtId="0" fontId="6" fillId="0" borderId="0" xfId="6" applyFont="1"/>
    <xf numFmtId="0" fontId="5" fillId="0" borderId="0" xfId="6" applyFont="1"/>
    <xf numFmtId="165" fontId="7" fillId="0" borderId="0" xfId="6" applyNumberFormat="1" applyFont="1" applyAlignment="1">
      <alignment horizontal="left"/>
    </xf>
    <xf numFmtId="166" fontId="6" fillId="0" borderId="0" xfId="7" applyNumberFormat="1" applyFont="1" applyAlignment="1">
      <alignment horizontal="center" wrapText="1"/>
    </xf>
    <xf numFmtId="9" fontId="6" fillId="0" borderId="0" xfId="8" applyFont="1"/>
    <xf numFmtId="166" fontId="6" fillId="0" borderId="0" xfId="7" applyNumberFormat="1" applyFont="1"/>
    <xf numFmtId="166" fontId="6" fillId="5" borderId="0" xfId="7" applyNumberFormat="1" applyFont="1" applyFill="1" applyAlignment="1">
      <alignment horizontal="center"/>
    </xf>
    <xf numFmtId="166" fontId="6" fillId="0" borderId="0" xfId="7" applyNumberFormat="1" applyFont="1" applyAlignment="1">
      <alignment horizontal="center"/>
    </xf>
    <xf numFmtId="0" fontId="6" fillId="5" borderId="5" xfId="6" applyFont="1" applyFill="1" applyBorder="1" applyAlignment="1">
      <alignment horizontal="center"/>
    </xf>
    <xf numFmtId="0" fontId="6" fillId="0" borderId="5" xfId="6" applyFont="1" applyBorder="1"/>
    <xf numFmtId="0" fontId="7" fillId="0" borderId="0" xfId="6" applyFont="1"/>
    <xf numFmtId="0" fontId="6" fillId="0" borderId="0" xfId="6" applyFont="1" applyAlignment="1">
      <alignment horizontal="center"/>
    </xf>
    <xf numFmtId="43" fontId="5" fillId="0" borderId="0" xfId="7" applyFont="1"/>
    <xf numFmtId="43" fontId="5" fillId="0" borderId="0" xfId="7" applyFont="1" applyAlignment="1">
      <alignment horizontal="left"/>
    </xf>
    <xf numFmtId="43" fontId="5" fillId="0" borderId="0" xfId="7" applyFont="1" applyFill="1"/>
    <xf numFmtId="0" fontId="7" fillId="0" borderId="0" xfId="6" applyFont="1" applyAlignment="1">
      <alignment horizontal="center" wrapText="1"/>
    </xf>
    <xf numFmtId="43" fontId="5" fillId="6" borderId="0" xfId="7" applyFont="1" applyFill="1"/>
    <xf numFmtId="43" fontId="5" fillId="0" borderId="5" xfId="7" applyFont="1" applyBorder="1"/>
    <xf numFmtId="43" fontId="5" fillId="0" borderId="5" xfId="7" applyFont="1" applyFill="1" applyBorder="1"/>
    <xf numFmtId="43" fontId="6" fillId="6" borderId="0" xfId="7" applyFont="1" applyFill="1" applyAlignment="1">
      <alignment horizontal="right"/>
    </xf>
    <xf numFmtId="0" fontId="6" fillId="6" borderId="0" xfId="0" applyFont="1" applyFill="1"/>
    <xf numFmtId="43" fontId="6" fillId="0" borderId="0" xfId="7" applyFont="1"/>
    <xf numFmtId="4" fontId="5" fillId="0" borderId="0" xfId="6" applyNumberFormat="1" applyFont="1"/>
    <xf numFmtId="43" fontId="5" fillId="0" borderId="0" xfId="4" applyFont="1" applyFill="1" applyBorder="1"/>
    <xf numFmtId="2" fontId="5" fillId="0" borderId="0" xfId="6" applyNumberFormat="1" applyFont="1"/>
    <xf numFmtId="0" fontId="6" fillId="9" borderId="0" xfId="6" applyFont="1" applyFill="1"/>
    <xf numFmtId="0" fontId="5" fillId="9" borderId="0" xfId="6" applyFont="1" applyFill="1"/>
    <xf numFmtId="43" fontId="7" fillId="0" borderId="0" xfId="4" applyFont="1"/>
    <xf numFmtId="43" fontId="5" fillId="0" borderId="0" xfId="4" applyFont="1"/>
    <xf numFmtId="0" fontId="11" fillId="0" borderId="0" xfId="6" applyFont="1"/>
    <xf numFmtId="43" fontId="11" fillId="0" borderId="0" xfId="6" applyNumberFormat="1" applyFont="1"/>
    <xf numFmtId="0" fontId="11" fillId="0" borderId="5" xfId="6" applyFont="1" applyBorder="1" applyAlignment="1">
      <alignment horizontal="center"/>
    </xf>
    <xf numFmtId="43" fontId="5" fillId="4" borderId="0" xfId="7" applyFont="1" applyFill="1"/>
    <xf numFmtId="166" fontId="6" fillId="6" borderId="0" xfId="7" applyNumberFormat="1" applyFont="1" applyFill="1" applyAlignment="1">
      <alignment horizontal="center"/>
    </xf>
    <xf numFmtId="0" fontId="6" fillId="6" borderId="5" xfId="6" applyFont="1" applyFill="1" applyBorder="1" applyAlignment="1">
      <alignment horizontal="center"/>
    </xf>
    <xf numFmtId="166" fontId="6" fillId="11" borderId="0" xfId="7" applyNumberFormat="1" applyFont="1" applyFill="1" applyAlignment="1">
      <alignment horizontal="center"/>
    </xf>
    <xf numFmtId="0" fontId="6" fillId="11" borderId="5" xfId="6" applyFont="1" applyFill="1" applyBorder="1" applyAlignment="1">
      <alignment horizontal="center"/>
    </xf>
    <xf numFmtId="0" fontId="5" fillId="11" borderId="0" xfId="6" applyFont="1" applyFill="1"/>
    <xf numFmtId="0" fontId="5" fillId="10" borderId="0" xfId="6" applyFont="1" applyFill="1"/>
    <xf numFmtId="166" fontId="6" fillId="9" borderId="0" xfId="7" applyNumberFormat="1" applyFont="1" applyFill="1" applyAlignment="1">
      <alignment horizontal="center"/>
    </xf>
    <xf numFmtId="0" fontId="6" fillId="9" borderId="5" xfId="6" applyFont="1" applyFill="1" applyBorder="1" applyAlignment="1">
      <alignment horizontal="center"/>
    </xf>
    <xf numFmtId="0" fontId="6" fillId="10" borderId="0" xfId="6" applyFont="1" applyFill="1"/>
    <xf numFmtId="0" fontId="11" fillId="6" borderId="0" xfId="6" applyFont="1" applyFill="1"/>
    <xf numFmtId="0" fontId="6" fillId="6" borderId="0" xfId="6" applyFont="1" applyFill="1"/>
    <xf numFmtId="43" fontId="6" fillId="6" borderId="0" xfId="7" applyFont="1" applyFill="1"/>
    <xf numFmtId="0" fontId="6" fillId="4" borderId="0" xfId="6" applyFont="1" applyFill="1"/>
    <xf numFmtId="43" fontId="6" fillId="4" borderId="7" xfId="7" applyFont="1" applyFill="1" applyBorder="1"/>
    <xf numFmtId="49" fontId="5" fillId="0" borderId="0" xfId="7" applyNumberFormat="1" applyFont="1" applyFill="1"/>
    <xf numFmtId="0" fontId="5" fillId="0" borderId="0" xfId="6" applyFont="1" applyAlignment="1">
      <alignment horizontal="left"/>
    </xf>
    <xf numFmtId="0" fontId="5" fillId="0" borderId="0" xfId="7" applyNumberFormat="1" applyFont="1"/>
    <xf numFmtId="0" fontId="6" fillId="0" borderId="0" xfId="6" applyFont="1" applyAlignment="1">
      <alignment horizontal="left"/>
    </xf>
    <xf numFmtId="0" fontId="6" fillId="11" borderId="0" xfId="6" applyFont="1" applyFill="1"/>
    <xf numFmtId="0" fontId="11" fillId="0" borderId="0" xfId="6" applyFont="1" applyAlignment="1">
      <alignment horizontal="left"/>
    </xf>
    <xf numFmtId="166" fontId="5" fillId="0" borderId="0" xfId="7" applyNumberFormat="1" applyFont="1"/>
    <xf numFmtId="166" fontId="5" fillId="0" borderId="0" xfId="7" applyNumberFormat="1" applyFont="1" applyAlignment="1">
      <alignment horizontal="left"/>
    </xf>
    <xf numFmtId="166" fontId="7" fillId="0" borderId="0" xfId="7" applyNumberFormat="1" applyFont="1" applyAlignment="1">
      <alignment horizontal="center"/>
    </xf>
    <xf numFmtId="166" fontId="5" fillId="0" borderId="0" xfId="7" applyNumberFormat="1" applyFont="1" applyAlignment="1">
      <alignment horizontal="center"/>
    </xf>
    <xf numFmtId="166" fontId="5" fillId="0" borderId="0" xfId="8" applyNumberFormat="1" applyFont="1" applyAlignment="1">
      <alignment horizontal="left"/>
    </xf>
    <xf numFmtId="166" fontId="7" fillId="0" borderId="0" xfId="8" applyNumberFormat="1" applyFont="1" applyAlignment="1">
      <alignment horizontal="center"/>
    </xf>
    <xf numFmtId="166" fontId="5" fillId="0" borderId="0" xfId="6" applyNumberFormat="1" applyFont="1"/>
    <xf numFmtId="166" fontId="5" fillId="0" borderId="0" xfId="8" applyNumberFormat="1" applyFont="1"/>
    <xf numFmtId="166" fontId="11" fillId="6" borderId="0" xfId="7" applyNumberFormat="1" applyFont="1" applyFill="1"/>
    <xf numFmtId="166" fontId="11" fillId="6" borderId="0" xfId="8" applyNumberFormat="1" applyFont="1" applyFill="1" applyAlignment="1">
      <alignment horizontal="left"/>
    </xf>
    <xf numFmtId="166" fontId="11" fillId="6" borderId="0" xfId="7" applyNumberFormat="1" applyFont="1" applyFill="1" applyAlignment="1">
      <alignment horizontal="left"/>
    </xf>
    <xf numFmtId="166" fontId="11" fillId="6" borderId="0" xfId="8" applyNumberFormat="1" applyFont="1" applyFill="1"/>
    <xf numFmtId="166" fontId="11" fillId="6" borderId="0" xfId="6" applyNumberFormat="1" applyFont="1" applyFill="1"/>
    <xf numFmtId="166" fontId="5" fillId="0" borderId="0" xfId="7" applyNumberFormat="1" applyFont="1" applyFill="1"/>
    <xf numFmtId="166" fontId="5" fillId="0" borderId="0" xfId="8" applyNumberFormat="1" applyFont="1" applyFill="1" applyAlignment="1">
      <alignment horizontal="left"/>
    </xf>
    <xf numFmtId="166" fontId="5" fillId="0" borderId="0" xfId="7" applyNumberFormat="1" applyFont="1" applyFill="1" applyAlignment="1">
      <alignment horizontal="left"/>
    </xf>
    <xf numFmtId="166" fontId="5" fillId="0" borderId="0" xfId="8" applyNumberFormat="1" applyFont="1" applyFill="1"/>
    <xf numFmtId="166" fontId="12" fillId="0" borderId="0" xfId="7" applyNumberFormat="1" applyFont="1"/>
    <xf numFmtId="166" fontId="5" fillId="0" borderId="5" xfId="7" applyNumberFormat="1" applyFont="1" applyBorder="1"/>
    <xf numFmtId="166" fontId="5" fillId="6" borderId="0" xfId="7" applyNumberFormat="1" applyFont="1" applyFill="1"/>
    <xf numFmtId="166" fontId="5" fillId="6" borderId="0" xfId="8" applyNumberFormat="1" applyFont="1" applyFill="1"/>
    <xf numFmtId="166" fontId="5" fillId="11" borderId="0" xfId="7" applyNumberFormat="1" applyFont="1" applyFill="1"/>
    <xf numFmtId="166" fontId="5" fillId="7" borderId="5" xfId="7" applyNumberFormat="1" applyFont="1" applyFill="1" applyBorder="1"/>
    <xf numFmtId="166" fontId="5" fillId="0" borderId="5" xfId="7" applyNumberFormat="1" applyFont="1" applyFill="1" applyBorder="1"/>
    <xf numFmtId="166" fontId="5" fillId="0" borderId="5" xfId="7" applyNumberFormat="1" applyFont="1" applyBorder="1" applyAlignment="1">
      <alignment horizontal="right"/>
    </xf>
    <xf numFmtId="166" fontId="7" fillId="0" borderId="0" xfId="7" applyNumberFormat="1" applyFont="1" applyAlignment="1">
      <alignment horizontal="left"/>
    </xf>
    <xf numFmtId="166" fontId="5" fillId="0" borderId="0" xfId="7" applyNumberFormat="1" applyFont="1" applyAlignment="1">
      <alignment horizontal="right"/>
    </xf>
    <xf numFmtId="166" fontId="6" fillId="4" borderId="7" xfId="7" applyNumberFormat="1" applyFont="1" applyFill="1" applyBorder="1"/>
    <xf numFmtId="166" fontId="6" fillId="4" borderId="0" xfId="7" applyNumberFormat="1" applyFont="1" applyFill="1"/>
    <xf numFmtId="166" fontId="6" fillId="4" borderId="0" xfId="6" applyNumberFormat="1" applyFont="1" applyFill="1"/>
    <xf numFmtId="166" fontId="6" fillId="0" borderId="0" xfId="6" applyNumberFormat="1" applyFont="1"/>
    <xf numFmtId="166" fontId="5" fillId="0" borderId="19" xfId="7" applyNumberFormat="1" applyFont="1" applyFill="1" applyBorder="1"/>
    <xf numFmtId="166" fontId="5" fillId="0" borderId="5" xfId="6" applyNumberFormat="1" applyFont="1" applyBorder="1"/>
    <xf numFmtId="166" fontId="11" fillId="0" borderId="0" xfId="7" applyNumberFormat="1" applyFont="1"/>
    <xf numFmtId="9" fontId="5" fillId="0" borderId="0" xfId="1" applyFont="1" applyAlignment="1">
      <alignment horizontal="left"/>
    </xf>
    <xf numFmtId="166" fontId="5" fillId="11" borderId="0" xfId="4" applyNumberFormat="1" applyFont="1" applyFill="1"/>
    <xf numFmtId="166" fontId="6" fillId="11" borderId="0" xfId="4" applyNumberFormat="1" applyFont="1" applyFill="1"/>
    <xf numFmtId="0" fontId="6" fillId="0" borderId="0" xfId="0" applyFont="1"/>
    <xf numFmtId="165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9" xfId="0" applyFont="1" applyBorder="1"/>
    <xf numFmtId="43" fontId="5" fillId="0" borderId="9" xfId="7" applyFont="1" applyFill="1" applyBorder="1"/>
    <xf numFmtId="166" fontId="5" fillId="0" borderId="9" xfId="7" applyNumberFormat="1" applyFont="1" applyFill="1" applyBorder="1"/>
    <xf numFmtId="0" fontId="5" fillId="0" borderId="9" xfId="0" applyFont="1" applyBorder="1"/>
    <xf numFmtId="168" fontId="5" fillId="0" borderId="0" xfId="0" applyNumberFormat="1" applyFont="1"/>
    <xf numFmtId="166" fontId="6" fillId="0" borderId="0" xfId="7" applyNumberFormat="1" applyFont="1" applyFill="1"/>
    <xf numFmtId="166" fontId="5" fillId="0" borderId="0" xfId="7" applyNumberFormat="1" applyFont="1" applyBorder="1"/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wrapText="1"/>
    </xf>
    <xf numFmtId="166" fontId="6" fillId="0" borderId="5" xfId="7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6" fillId="0" borderId="5" xfId="7" applyFont="1" applyBorder="1" applyAlignment="1">
      <alignment horizontal="center" wrapText="1"/>
    </xf>
    <xf numFmtId="166" fontId="6" fillId="4" borderId="5" xfId="7" applyNumberFormat="1" applyFont="1" applyFill="1" applyBorder="1" applyAlignment="1">
      <alignment horizontal="center"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6" fillId="0" borderId="4" xfId="0" applyFont="1" applyBorder="1"/>
    <xf numFmtId="43" fontId="5" fillId="0" borderId="4" xfId="7" applyFont="1" applyFill="1" applyBorder="1"/>
    <xf numFmtId="166" fontId="5" fillId="0" borderId="4" xfId="7" applyNumberFormat="1" applyFont="1" applyFill="1" applyBorder="1"/>
    <xf numFmtId="0" fontId="5" fillId="0" borderId="4" xfId="0" applyFont="1" applyBorder="1" applyAlignment="1">
      <alignment wrapText="1"/>
    </xf>
    <xf numFmtId="40" fontId="5" fillId="0" borderId="4" xfId="7" applyNumberFormat="1" applyFont="1" applyFill="1" applyBorder="1"/>
    <xf numFmtId="0" fontId="7" fillId="0" borderId="4" xfId="0" applyFont="1" applyBorder="1"/>
    <xf numFmtId="0" fontId="6" fillId="4" borderId="7" xfId="0" applyFont="1" applyFill="1" applyBorder="1"/>
    <xf numFmtId="168" fontId="6" fillId="4" borderId="7" xfId="0" applyNumberFormat="1" applyFont="1" applyFill="1" applyBorder="1"/>
    <xf numFmtId="166" fontId="5" fillId="0" borderId="4" xfId="7" applyNumberFormat="1" applyFont="1" applyFill="1" applyBorder="1" applyAlignment="1">
      <alignment horizontal="center"/>
    </xf>
    <xf numFmtId="9" fontId="6" fillId="4" borderId="7" xfId="1" applyFont="1" applyFill="1" applyBorder="1"/>
    <xf numFmtId="10" fontId="5" fillId="0" borderId="4" xfId="1" applyNumberFormat="1" applyFont="1" applyFill="1" applyBorder="1"/>
    <xf numFmtId="37" fontId="5" fillId="0" borderId="4" xfId="7" applyNumberFormat="1" applyFont="1" applyFill="1" applyBorder="1"/>
    <xf numFmtId="37" fontId="5" fillId="0" borderId="0" xfId="7" applyNumberFormat="1" applyFont="1"/>
    <xf numFmtId="37" fontId="6" fillId="4" borderId="7" xfId="7" applyNumberFormat="1" applyFont="1" applyFill="1" applyBorder="1"/>
    <xf numFmtId="166" fontId="7" fillId="0" borderId="4" xfId="7" applyNumberFormat="1" applyFont="1" applyFill="1" applyBorder="1"/>
    <xf numFmtId="164" fontId="5" fillId="0" borderId="0" xfId="0" applyNumberFormat="1" applyFont="1" applyAlignment="1">
      <alignment horizontal="left"/>
    </xf>
    <xf numFmtId="0" fontId="6" fillId="8" borderId="0" xfId="0" applyFont="1" applyFill="1"/>
    <xf numFmtId="0" fontId="5" fillId="7" borderId="0" xfId="0" applyFont="1" applyFill="1"/>
    <xf numFmtId="0" fontId="5" fillId="3" borderId="0" xfId="0" applyFont="1" applyFill="1"/>
    <xf numFmtId="0" fontId="6" fillId="0" borderId="8" xfId="0" applyFont="1" applyBorder="1"/>
    <xf numFmtId="43" fontId="5" fillId="0" borderId="8" xfId="7" applyFont="1" applyBorder="1"/>
    <xf numFmtId="166" fontId="5" fillId="0" borderId="8" xfId="7" applyNumberFormat="1" applyFont="1" applyBorder="1"/>
    <xf numFmtId="10" fontId="5" fillId="0" borderId="8" xfId="1" applyNumberFormat="1" applyFont="1" applyBorder="1"/>
    <xf numFmtId="0" fontId="5" fillId="0" borderId="8" xfId="0" applyFont="1" applyBorder="1"/>
    <xf numFmtId="4" fontId="5" fillId="0" borderId="8" xfId="0" applyNumberFormat="1" applyFont="1" applyBorder="1"/>
    <xf numFmtId="0" fontId="6" fillId="8" borderId="9" xfId="0" applyFont="1" applyFill="1" applyBorder="1"/>
    <xf numFmtId="43" fontId="5" fillId="0" borderId="9" xfId="7" applyFont="1" applyBorder="1"/>
    <xf numFmtId="166" fontId="5" fillId="0" borderId="9" xfId="7" applyNumberFormat="1" applyFont="1" applyBorder="1"/>
    <xf numFmtId="0" fontId="6" fillId="0" borderId="10" xfId="0" applyFont="1" applyBorder="1"/>
    <xf numFmtId="43" fontId="5" fillId="0" borderId="10" xfId="7" applyFont="1" applyBorder="1"/>
    <xf numFmtId="166" fontId="5" fillId="0" borderId="10" xfId="7" applyNumberFormat="1" applyFont="1" applyBorder="1"/>
    <xf numFmtId="166" fontId="5" fillId="0" borderId="11" xfId="7" applyNumberFormat="1" applyFont="1" applyBorder="1"/>
    <xf numFmtId="0" fontId="5" fillId="0" borderId="11" xfId="0" applyFont="1" applyBorder="1"/>
    <xf numFmtId="43" fontId="5" fillId="0" borderId="11" xfId="7" applyFont="1" applyBorder="1"/>
    <xf numFmtId="0" fontId="5" fillId="0" borderId="10" xfId="0" applyFont="1" applyBorder="1"/>
    <xf numFmtId="4" fontId="5" fillId="0" borderId="0" xfId="7" applyNumberFormat="1" applyFont="1"/>
    <xf numFmtId="0" fontId="6" fillId="0" borderId="0" xfId="0" applyFont="1" applyAlignment="1">
      <alignment horizontal="center"/>
    </xf>
    <xf numFmtId="4" fontId="5" fillId="0" borderId="0" xfId="0" applyNumberFormat="1" applyFont="1"/>
    <xf numFmtId="0" fontId="14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4" fontId="5" fillId="0" borderId="16" xfId="0" applyNumberFormat="1" applyFont="1" applyBorder="1"/>
    <xf numFmtId="0" fontId="5" fillId="0" borderId="17" xfId="0" applyFont="1" applyBorder="1"/>
    <xf numFmtId="4" fontId="5" fillId="0" borderId="18" xfId="0" applyNumberFormat="1" applyFont="1" applyBorder="1"/>
    <xf numFmtId="9" fontId="6" fillId="0" borderId="5" xfId="8" applyFont="1" applyBorder="1" applyAlignment="1">
      <alignment horizontal="center" wrapText="1"/>
    </xf>
    <xf numFmtId="0" fontId="6" fillId="0" borderId="5" xfId="0" applyFont="1" applyBorder="1"/>
    <xf numFmtId="10" fontId="5" fillId="0" borderId="5" xfId="1" applyNumberFormat="1" applyFont="1" applyBorder="1"/>
    <xf numFmtId="4" fontId="5" fillId="0" borderId="5" xfId="7" applyNumberFormat="1" applyFont="1" applyBorder="1"/>
    <xf numFmtId="4" fontId="5" fillId="0" borderId="5" xfId="0" applyNumberFormat="1" applyFont="1" applyBorder="1"/>
    <xf numFmtId="4" fontId="5" fillId="4" borderId="5" xfId="0" applyNumberFormat="1" applyFont="1" applyFill="1" applyBorder="1"/>
    <xf numFmtId="0" fontId="6" fillId="8" borderId="4" xfId="0" applyFont="1" applyFill="1" applyBorder="1"/>
    <xf numFmtId="43" fontId="5" fillId="0" borderId="4" xfId="7" applyFont="1" applyBorder="1"/>
    <xf numFmtId="166" fontId="5" fillId="0" borderId="4" xfId="7" applyNumberFormat="1" applyFont="1" applyBorder="1"/>
    <xf numFmtId="168" fontId="5" fillId="0" borderId="4" xfId="0" applyNumberFormat="1" applyFont="1" applyBorder="1"/>
    <xf numFmtId="166" fontId="5" fillId="0" borderId="0" xfId="0" applyNumberFormat="1" applyFont="1"/>
    <xf numFmtId="37" fontId="6" fillId="4" borderId="4" xfId="7" applyNumberFormat="1" applyFont="1" applyFill="1" applyBorder="1"/>
    <xf numFmtId="37" fontId="6" fillId="4" borderId="0" xfId="7" applyNumberFormat="1" applyFont="1" applyFill="1"/>
    <xf numFmtId="0" fontId="6" fillId="4" borderId="4" xfId="0" applyFont="1" applyFill="1" applyBorder="1"/>
    <xf numFmtId="0" fontId="6" fillId="4" borderId="0" xfId="0" applyFont="1" applyFill="1"/>
    <xf numFmtId="4" fontId="6" fillId="4" borderId="7" xfId="0" applyNumberFormat="1" applyFont="1" applyFill="1" applyBorder="1"/>
    <xf numFmtId="0" fontId="6" fillId="4" borderId="7" xfId="0" applyFont="1" applyFill="1" applyBorder="1" applyAlignment="1">
      <alignment horizontal="center"/>
    </xf>
    <xf numFmtId="14" fontId="6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7" fontId="7" fillId="0" borderId="0" xfId="1" applyNumberFormat="1" applyFont="1" applyFill="1"/>
    <xf numFmtId="167" fontId="7" fillId="0" borderId="0" xfId="1" applyNumberFormat="1" applyFont="1"/>
    <xf numFmtId="169" fontId="5" fillId="0" borderId="0" xfId="7" applyNumberFormat="1" applyFont="1"/>
    <xf numFmtId="10" fontId="5" fillId="0" borderId="9" xfId="1" applyNumberFormat="1" applyFont="1" applyFill="1" applyBorder="1"/>
    <xf numFmtId="3" fontId="5" fillId="0" borderId="9" xfId="7" applyNumberFormat="1" applyFont="1" applyFill="1" applyBorder="1"/>
    <xf numFmtId="3" fontId="5" fillId="0" borderId="9" xfId="7" applyNumberFormat="1" applyFont="1" applyBorder="1"/>
    <xf numFmtId="3" fontId="5" fillId="0" borderId="11" xfId="7" applyNumberFormat="1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left" wrapText="1"/>
    </xf>
    <xf numFmtId="9" fontId="5" fillId="0" borderId="4" xfId="1" applyFont="1" applyBorder="1"/>
    <xf numFmtId="10" fontId="5" fillId="0" borderId="4" xfId="1" applyNumberFormat="1" applyFont="1" applyBorder="1"/>
    <xf numFmtId="3" fontId="5" fillId="0" borderId="4" xfId="7" applyNumberFormat="1" applyFont="1" applyBorder="1"/>
    <xf numFmtId="3" fontId="5" fillId="0" borderId="4" xfId="0" applyNumberFormat="1" applyFont="1" applyBorder="1"/>
    <xf numFmtId="3" fontId="6" fillId="4" borderId="4" xfId="0" applyNumberFormat="1" applyFont="1" applyFill="1" applyBorder="1"/>
    <xf numFmtId="3" fontId="5" fillId="0" borderId="4" xfId="7" applyNumberFormat="1" applyFont="1" applyFill="1" applyBorder="1"/>
    <xf numFmtId="3" fontId="6" fillId="4" borderId="7" xfId="0" applyNumberFormat="1" applyFont="1" applyFill="1" applyBorder="1"/>
    <xf numFmtId="9" fontId="5" fillId="0" borderId="9" xfId="1" applyFont="1" applyBorder="1"/>
    <xf numFmtId="10" fontId="5" fillId="0" borderId="9" xfId="1" applyNumberFormat="1" applyFont="1" applyBorder="1"/>
    <xf numFmtId="39" fontId="5" fillId="0" borderId="13" xfId="0" applyNumberFormat="1" applyFont="1" applyBorder="1"/>
    <xf numFmtId="4" fontId="5" fillId="0" borderId="14" xfId="0" applyNumberFormat="1" applyFont="1" applyBorder="1"/>
    <xf numFmtId="39" fontId="5" fillId="0" borderId="15" xfId="0" applyNumberFormat="1" applyFont="1" applyBorder="1"/>
    <xf numFmtId="39" fontId="5" fillId="0" borderId="18" xfId="0" applyNumberFormat="1" applyFont="1" applyBorder="1"/>
    <xf numFmtId="4" fontId="13" fillId="0" borderId="12" xfId="0" applyNumberFormat="1" applyFont="1" applyBorder="1"/>
    <xf numFmtId="0" fontId="13" fillId="0" borderId="10" xfId="0" applyFont="1" applyBorder="1"/>
    <xf numFmtId="4" fontId="13" fillId="0" borderId="10" xfId="0" applyNumberFormat="1" applyFont="1" applyBorder="1"/>
    <xf numFmtId="10" fontId="5" fillId="0" borderId="5" xfId="1" applyNumberFormat="1" applyFont="1" applyFill="1" applyBorder="1"/>
    <xf numFmtId="37" fontId="5" fillId="0" borderId="5" xfId="7" applyNumberFormat="1" applyFont="1" applyFill="1" applyBorder="1"/>
    <xf numFmtId="37" fontId="6" fillId="4" borderId="5" xfId="7" applyNumberFormat="1" applyFont="1" applyFill="1" applyBorder="1"/>
    <xf numFmtId="3" fontId="5" fillId="0" borderId="8" xfId="7" applyNumberFormat="1" applyFont="1" applyBorder="1"/>
    <xf numFmtId="3" fontId="6" fillId="4" borderId="8" xfId="7" applyNumberFormat="1" applyFont="1" applyFill="1" applyBorder="1"/>
    <xf numFmtId="3" fontId="6" fillId="4" borderId="9" xfId="7" applyNumberFormat="1" applyFont="1" applyFill="1" applyBorder="1"/>
    <xf numFmtId="3" fontId="6" fillId="4" borderId="11" xfId="7" applyNumberFormat="1" applyFont="1" applyFill="1" applyBorder="1"/>
    <xf numFmtId="39" fontId="6" fillId="4" borderId="0" xfId="7" applyNumberFormat="1" applyFont="1" applyFill="1"/>
    <xf numFmtId="10" fontId="5" fillId="0" borderId="11" xfId="1" applyNumberFormat="1" applyFont="1" applyBorder="1"/>
    <xf numFmtId="0" fontId="11" fillId="6" borderId="0" xfId="6" applyFont="1" applyFill="1" applyAlignment="1">
      <alignment horizontal="left" wrapText="1"/>
    </xf>
    <xf numFmtId="4" fontId="7" fillId="0" borderId="0" xfId="0" applyNumberFormat="1" applyFont="1" applyAlignment="1">
      <alignment horizontal="right" vertical="center"/>
    </xf>
    <xf numFmtId="14" fontId="10" fillId="0" borderId="0" xfId="0" applyNumberFormat="1" applyFont="1"/>
    <xf numFmtId="0" fontId="5" fillId="1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6" fontId="6" fillId="12" borderId="5" xfId="7" applyNumberFormat="1" applyFont="1" applyFill="1" applyBorder="1" applyAlignment="1">
      <alignment horizontal="center" wrapText="1"/>
    </xf>
    <xf numFmtId="43" fontId="5" fillId="12" borderId="5" xfId="7" applyFont="1" applyFill="1" applyBorder="1"/>
    <xf numFmtId="166" fontId="5" fillId="12" borderId="4" xfId="7" applyNumberFormat="1" applyFont="1" applyFill="1" applyBorder="1"/>
    <xf numFmtId="43" fontId="5" fillId="12" borderId="4" xfId="7" applyFont="1" applyFill="1" applyBorder="1"/>
    <xf numFmtId="3" fontId="7" fillId="4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/>
    <xf numFmtId="43" fontId="5" fillId="0" borderId="0" xfId="6" applyNumberFormat="1" applyFont="1" applyAlignment="1">
      <alignment horizontal="right"/>
    </xf>
    <xf numFmtId="0" fontId="11" fillId="0" borderId="0" xfId="6" applyFont="1" applyAlignment="1">
      <alignment horizontal="left" wrapText="1"/>
    </xf>
    <xf numFmtId="0" fontId="11" fillId="0" borderId="0" xfId="6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9">
    <cellStyle name="Comma" xfId="4" xr:uid="{00000000-0005-0000-0000-000004000000}"/>
    <cellStyle name="Comma [0]" xfId="5" xr:uid="{00000000-0005-0000-0000-000005000000}"/>
    <cellStyle name="Comma 2" xfId="7" xr:uid="{5FEE294A-A51B-4A09-8B38-D257EC9558C7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86F7931-36DF-4424-80A6-08BE1E1EFA8D}"/>
    <cellStyle name="Percent" xfId="1" xr:uid="{00000000-0005-0000-0000-000001000000}"/>
    <cellStyle name="Percent 2" xfId="8" xr:uid="{8EF75A89-2369-4527-A021-4CB0A97839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RM72"/>
  <sheetViews>
    <sheetView tabSelected="1" workbookViewId="0">
      <pane ySplit="5" topLeftCell="A6" activePane="bottomLeft" state="frozen"/>
      <selection activeCell="B39" sqref="B39"/>
      <selection pane="bottomLeft" activeCell="B33" sqref="B33"/>
    </sheetView>
  </sheetViews>
  <sheetFormatPr defaultColWidth="9.140625" defaultRowHeight="15" x14ac:dyDescent="0.25"/>
  <cols>
    <col min="1" max="1" width="11.42578125" style="1" customWidth="1"/>
    <col min="2" max="2" width="33.42578125" style="1" customWidth="1"/>
    <col min="3" max="16" width="11.42578125" style="1" customWidth="1"/>
    <col min="17" max="17" width="51.42578125" style="1" customWidth="1"/>
    <col min="18" max="18" width="9.140625" style="1"/>
    <col min="19" max="19" width="13.42578125" style="1" customWidth="1"/>
    <col min="20" max="16384" width="9.140625" style="1"/>
  </cols>
  <sheetData>
    <row r="1" spans="1:23" ht="15" customHeight="1" x14ac:dyDescent="0.25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4"/>
    </row>
    <row r="2" spans="1:23" ht="15.75" customHeight="1" x14ac:dyDescent="0.25">
      <c r="A2" s="318" t="s">
        <v>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</row>
    <row r="3" spans="1:23" ht="15" customHeight="1" x14ac:dyDescent="0.25">
      <c r="A3" s="318" t="s">
        <v>414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</row>
    <row r="4" spans="1:23" ht="1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5">
        <v>2023</v>
      </c>
      <c r="P4" s="36">
        <v>2022</v>
      </c>
      <c r="Q4" s="37"/>
    </row>
    <row r="5" spans="1:23" ht="15" customHeight="1" x14ac:dyDescent="0.25">
      <c r="A5" s="31"/>
      <c r="B5" s="31"/>
      <c r="C5" s="38">
        <v>44927</v>
      </c>
      <c r="D5" s="38">
        <v>44958</v>
      </c>
      <c r="E5" s="38">
        <v>44986</v>
      </c>
      <c r="F5" s="38">
        <v>45017</v>
      </c>
      <c r="G5" s="38">
        <v>45047</v>
      </c>
      <c r="H5" s="38">
        <v>45078</v>
      </c>
      <c r="I5" s="38">
        <v>45108</v>
      </c>
      <c r="J5" s="38">
        <v>45139</v>
      </c>
      <c r="K5" s="38">
        <v>45170</v>
      </c>
      <c r="L5" s="38">
        <v>45200</v>
      </c>
      <c r="M5" s="38">
        <v>45231</v>
      </c>
      <c r="N5" s="38">
        <v>45261</v>
      </c>
      <c r="O5" s="35" t="s">
        <v>1</v>
      </c>
      <c r="P5" s="39" t="s">
        <v>294</v>
      </c>
      <c r="Q5" s="40" t="s">
        <v>295</v>
      </c>
    </row>
    <row r="6" spans="1:23" ht="15" customHeight="1" x14ac:dyDescent="0.25">
      <c r="A6" s="26"/>
      <c r="B6" s="25" t="s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1"/>
      <c r="P6" s="20"/>
    </row>
    <row r="7" spans="1:23" ht="15" customHeight="1" x14ac:dyDescent="0.25">
      <c r="A7" s="4"/>
      <c r="B7" s="3" t="s">
        <v>3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42"/>
      <c r="P7" s="20"/>
    </row>
    <row r="8" spans="1:23" ht="15" customHeight="1" x14ac:dyDescent="0.25">
      <c r="A8" s="12" t="s">
        <v>4</v>
      </c>
      <c r="B8" s="11" t="s">
        <v>5</v>
      </c>
      <c r="C8" s="13">
        <f>RENT!E14</f>
        <v>70067.520000000004</v>
      </c>
      <c r="D8" s="13">
        <f>RENT!F14</f>
        <v>70067.520000000004</v>
      </c>
      <c r="E8" s="13">
        <f>RENT!G14</f>
        <v>70067.520000000004</v>
      </c>
      <c r="F8" s="13">
        <f>RENT!H14</f>
        <v>70067.520000000004</v>
      </c>
      <c r="G8" s="13">
        <f>RENT!I14</f>
        <v>70067.520000000004</v>
      </c>
      <c r="H8" s="13">
        <f>RENT!J14</f>
        <v>70235.350000000006</v>
      </c>
      <c r="I8" s="13">
        <f>RENT!K14</f>
        <v>71529.98</v>
      </c>
      <c r="J8" s="13">
        <f>RENT!L14</f>
        <v>71529.98</v>
      </c>
      <c r="K8" s="13">
        <f>RENT!M14</f>
        <v>71529.98</v>
      </c>
      <c r="L8" s="13">
        <f>RENT!N14</f>
        <v>71529.98</v>
      </c>
      <c r="M8" s="13">
        <f>RENT!O14</f>
        <v>71529.98</v>
      </c>
      <c r="N8" s="13">
        <f>RENT!P14</f>
        <v>71529.98</v>
      </c>
      <c r="O8" s="43">
        <f>SUM(C8:N8)</f>
        <v>849752.83</v>
      </c>
      <c r="P8" s="9">
        <f>'2022 Reforecast'!O9</f>
        <v>850206.08000000007</v>
      </c>
      <c r="Q8" s="44" t="s">
        <v>353</v>
      </c>
    </row>
    <row r="9" spans="1:23" ht="15" customHeight="1" x14ac:dyDescent="0.25">
      <c r="A9" s="12" t="s">
        <v>201</v>
      </c>
      <c r="B9" s="11" t="s">
        <v>352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45">
        <f>SUM(C9:N9)</f>
        <v>0</v>
      </c>
      <c r="P9" s="46">
        <f>'2022 Reforecast'!O10</f>
        <v>-46392.770000000011</v>
      </c>
      <c r="Q9" s="44" t="s">
        <v>354</v>
      </c>
    </row>
    <row r="10" spans="1:23" ht="15" customHeight="1" x14ac:dyDescent="0.25">
      <c r="A10" s="12"/>
      <c r="B10" s="11" t="s">
        <v>6</v>
      </c>
      <c r="C10" s="47">
        <f>SUM(C8:C9)</f>
        <v>70067.520000000004</v>
      </c>
      <c r="D10" s="47">
        <f t="shared" ref="D10:N10" si="0">SUM(D8:D9)</f>
        <v>70067.520000000004</v>
      </c>
      <c r="E10" s="47">
        <f t="shared" si="0"/>
        <v>70067.520000000004</v>
      </c>
      <c r="F10" s="47">
        <f t="shared" si="0"/>
        <v>70067.520000000004</v>
      </c>
      <c r="G10" s="47">
        <f t="shared" si="0"/>
        <v>70067.520000000004</v>
      </c>
      <c r="H10" s="47">
        <f t="shared" si="0"/>
        <v>70235.350000000006</v>
      </c>
      <c r="I10" s="47">
        <f t="shared" si="0"/>
        <v>71529.98</v>
      </c>
      <c r="J10" s="47">
        <f t="shared" si="0"/>
        <v>71529.98</v>
      </c>
      <c r="K10" s="47">
        <f t="shared" si="0"/>
        <v>71529.98</v>
      </c>
      <c r="L10" s="47">
        <f t="shared" si="0"/>
        <v>71529.98</v>
      </c>
      <c r="M10" s="47">
        <f t="shared" si="0"/>
        <v>71529.98</v>
      </c>
      <c r="N10" s="47">
        <f t="shared" si="0"/>
        <v>71529.98</v>
      </c>
      <c r="O10" s="48">
        <f>SUM(C10:N10)</f>
        <v>849752.83</v>
      </c>
      <c r="P10" s="9">
        <f>SUM(P8:P9)</f>
        <v>803813.31</v>
      </c>
      <c r="Q10" s="44"/>
    </row>
    <row r="11" spans="1:23" ht="15" customHeight="1" x14ac:dyDescent="0.25">
      <c r="A11" s="4"/>
      <c r="B11" s="3" t="s">
        <v>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49"/>
      <c r="P11" s="14"/>
      <c r="Q11" s="44"/>
    </row>
    <row r="12" spans="1:23" ht="15" customHeight="1" x14ac:dyDescent="0.25">
      <c r="A12" s="12" t="s">
        <v>8</v>
      </c>
      <c r="B12" s="11" t="s">
        <v>9</v>
      </c>
      <c r="C12" s="13">
        <f>CAM!E15</f>
        <v>5857</v>
      </c>
      <c r="D12" s="13">
        <f>CAM!F15</f>
        <v>5857</v>
      </c>
      <c r="E12" s="13">
        <f>CAM!G15</f>
        <v>5857</v>
      </c>
      <c r="F12" s="13">
        <f>CAM!H15</f>
        <v>5857</v>
      </c>
      <c r="G12" s="13">
        <f>CAM!I15</f>
        <v>5857</v>
      </c>
      <c r="H12" s="13">
        <f>CAM!J15</f>
        <v>5857</v>
      </c>
      <c r="I12" s="13">
        <f>CAM!K15</f>
        <v>5857</v>
      </c>
      <c r="J12" s="13">
        <f>CAM!L15</f>
        <v>5857</v>
      </c>
      <c r="K12" s="13">
        <f>CAM!M15</f>
        <v>5857</v>
      </c>
      <c r="L12" s="13">
        <f>CAM!N15</f>
        <v>5857</v>
      </c>
      <c r="M12" s="13">
        <f>CAM!O15</f>
        <v>5857</v>
      </c>
      <c r="N12" s="13">
        <f>CAM!P15</f>
        <v>5857</v>
      </c>
      <c r="O12" s="43">
        <f>SUM(C12:N12)</f>
        <v>70284</v>
      </c>
      <c r="P12" s="9">
        <f>'2022 Reforecast'!O14</f>
        <v>71776.69</v>
      </c>
      <c r="Q12" s="44" t="s">
        <v>361</v>
      </c>
    </row>
    <row r="13" spans="1:23" ht="15" customHeight="1" x14ac:dyDescent="0.25">
      <c r="A13" s="12" t="s">
        <v>10</v>
      </c>
      <c r="B13" s="11" t="s">
        <v>11</v>
      </c>
      <c r="C13" s="13">
        <f>TAX!E15</f>
        <v>4514.1000000000004</v>
      </c>
      <c r="D13" s="13">
        <f>TAX!F15</f>
        <v>4514.1000000000004</v>
      </c>
      <c r="E13" s="13">
        <f>TAX!G15</f>
        <v>4514.1000000000004</v>
      </c>
      <c r="F13" s="13">
        <f>TAX!H15</f>
        <v>4514.1000000000004</v>
      </c>
      <c r="G13" s="13">
        <f>TAX!I15</f>
        <v>4514.1000000000004</v>
      </c>
      <c r="H13" s="13">
        <f>TAX!J15</f>
        <v>4514.1000000000004</v>
      </c>
      <c r="I13" s="13">
        <f>TAX!K15</f>
        <v>4514.1000000000004</v>
      </c>
      <c r="J13" s="13">
        <f>TAX!L15</f>
        <v>4514.1000000000004</v>
      </c>
      <c r="K13" s="13">
        <f>TAX!M15</f>
        <v>4514.1000000000004</v>
      </c>
      <c r="L13" s="13">
        <f>TAX!N15</f>
        <v>4514.1000000000004</v>
      </c>
      <c r="M13" s="13">
        <f>TAX!O15</f>
        <v>4514.1000000000004</v>
      </c>
      <c r="N13" s="13">
        <f>TAX!P15</f>
        <v>4514.1000000000004</v>
      </c>
      <c r="O13" s="43">
        <f>SUM(C13:N13)</f>
        <v>54169.19999999999</v>
      </c>
      <c r="P13" s="9">
        <f>'2022 Reforecast'!O15</f>
        <v>1456.91</v>
      </c>
      <c r="Q13" s="44" t="s">
        <v>360</v>
      </c>
      <c r="S13" s="44"/>
      <c r="T13" s="44"/>
      <c r="U13" s="44"/>
      <c r="V13" s="44"/>
      <c r="W13" s="44"/>
    </row>
    <row r="14" spans="1:23" ht="15" customHeight="1" x14ac:dyDescent="0.25">
      <c r="A14" s="12" t="s">
        <v>12</v>
      </c>
      <c r="B14" s="11" t="s">
        <v>13</v>
      </c>
      <c r="C14" s="13">
        <f>INS!E15</f>
        <v>1953</v>
      </c>
      <c r="D14" s="13">
        <f>INS!F15</f>
        <v>1953</v>
      </c>
      <c r="E14" s="13">
        <f>INS!G15</f>
        <v>1953</v>
      </c>
      <c r="F14" s="13">
        <f>INS!H15</f>
        <v>1953</v>
      </c>
      <c r="G14" s="13">
        <f>INS!I15</f>
        <v>1953</v>
      </c>
      <c r="H14" s="13">
        <f>INS!J15</f>
        <v>1953</v>
      </c>
      <c r="I14" s="13">
        <f>INS!K15</f>
        <v>1953</v>
      </c>
      <c r="J14" s="13">
        <f>INS!L15</f>
        <v>1953</v>
      </c>
      <c r="K14" s="13">
        <f>INS!M15</f>
        <v>1953</v>
      </c>
      <c r="L14" s="13">
        <f>INS!N15</f>
        <v>1953</v>
      </c>
      <c r="M14" s="13">
        <f>INS!O15</f>
        <v>1953</v>
      </c>
      <c r="N14" s="13">
        <f>INS!P15</f>
        <v>1953</v>
      </c>
      <c r="O14" s="43">
        <f>SUM(C14:N14)</f>
        <v>23436</v>
      </c>
      <c r="P14" s="9">
        <f>'2022 Reforecast'!O16</f>
        <v>54169.19999999999</v>
      </c>
      <c r="Q14" s="44" t="s">
        <v>362</v>
      </c>
      <c r="S14" s="44"/>
      <c r="T14" s="44"/>
      <c r="U14" s="44"/>
      <c r="V14" s="44"/>
      <c r="W14" s="44"/>
    </row>
    <row r="15" spans="1:23" ht="25.5" customHeight="1" x14ac:dyDescent="0.25">
      <c r="A15" s="12" t="s">
        <v>14</v>
      </c>
      <c r="B15" s="11" t="s">
        <v>15</v>
      </c>
      <c r="C15" s="13">
        <v>0</v>
      </c>
      <c r="D15" s="13">
        <v>0</v>
      </c>
      <c r="E15" s="13">
        <v>0</v>
      </c>
      <c r="F15" s="13">
        <f>'2022 Est. CAM RECON'!K15</f>
        <v>19038.572347296005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43">
        <f>SUM(C15:N15)</f>
        <v>19038.572347296005</v>
      </c>
      <c r="P15" s="9">
        <f>'2022 Reforecast'!O17</f>
        <v>25516.78</v>
      </c>
      <c r="Q15" s="50" t="s">
        <v>418</v>
      </c>
      <c r="S15" s="44"/>
      <c r="T15" s="307"/>
      <c r="U15" s="307"/>
      <c r="V15" s="307"/>
      <c r="W15" s="44"/>
    </row>
    <row r="16" spans="1:23" ht="15" customHeight="1" x14ac:dyDescent="0.25">
      <c r="A16" s="12" t="s">
        <v>16</v>
      </c>
      <c r="B16" s="11" t="s">
        <v>17</v>
      </c>
      <c r="C16" s="13">
        <v>0</v>
      </c>
      <c r="D16" s="13">
        <v>0</v>
      </c>
      <c r="E16" s="13">
        <v>0</v>
      </c>
      <c r="F16" s="13">
        <f>'2022 Est. TAX RECON'!L15</f>
        <v>35202.449836995154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43">
        <f>SUM(C16:N16)</f>
        <v>35202.449836995154</v>
      </c>
      <c r="P16" s="9">
        <f>'2022 Reforecast'!O18</f>
        <v>23436</v>
      </c>
      <c r="Q16" s="44" t="s">
        <v>419</v>
      </c>
      <c r="S16" s="44"/>
      <c r="T16" s="307"/>
      <c r="U16" s="307"/>
      <c r="V16" s="307"/>
      <c r="W16" s="44"/>
    </row>
    <row r="17" spans="1:481" ht="15" customHeight="1" x14ac:dyDescent="0.25">
      <c r="A17" s="12" t="s">
        <v>18</v>
      </c>
      <c r="B17" s="11" t="s">
        <v>19</v>
      </c>
      <c r="C17" s="10">
        <v>0</v>
      </c>
      <c r="D17" s="10">
        <v>0</v>
      </c>
      <c r="E17" s="10">
        <v>0</v>
      </c>
      <c r="F17" s="10">
        <f>'2022 Est. INS RECON'!L16</f>
        <v>13851.878345810268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43">
        <f t="shared" ref="O17" si="1">SUM(C17:N17)</f>
        <v>13851.878345810268</v>
      </c>
      <c r="P17" s="46">
        <f>'2022 Reforecast'!O19</f>
        <v>11352.3</v>
      </c>
      <c r="Q17" s="44" t="s">
        <v>420</v>
      </c>
      <c r="S17" s="44"/>
      <c r="T17" s="307"/>
      <c r="U17" s="307"/>
      <c r="V17" s="307"/>
      <c r="W17" s="44"/>
    </row>
    <row r="18" spans="1:481" ht="15" customHeight="1" x14ac:dyDescent="0.25">
      <c r="A18" s="12"/>
      <c r="B18" s="11" t="s">
        <v>20</v>
      </c>
      <c r="C18" s="47">
        <f>SUM(C12:C17)</f>
        <v>12324.1</v>
      </c>
      <c r="D18" s="47">
        <f t="shared" ref="D18:N18" si="2">SUM(D12:D17)</f>
        <v>12324.1</v>
      </c>
      <c r="E18" s="47">
        <f t="shared" si="2"/>
        <v>12324.1</v>
      </c>
      <c r="F18" s="47">
        <f t="shared" si="2"/>
        <v>80417.000530101432</v>
      </c>
      <c r="G18" s="47">
        <f t="shared" si="2"/>
        <v>12324.1</v>
      </c>
      <c r="H18" s="47">
        <f t="shared" si="2"/>
        <v>12324.1</v>
      </c>
      <c r="I18" s="47">
        <f>SUM(I12:I17)</f>
        <v>12324.1</v>
      </c>
      <c r="J18" s="47">
        <f t="shared" si="2"/>
        <v>12324.1</v>
      </c>
      <c r="K18" s="47">
        <f t="shared" si="2"/>
        <v>12324.1</v>
      </c>
      <c r="L18" s="47">
        <f t="shared" si="2"/>
        <v>12324.1</v>
      </c>
      <c r="M18" s="47">
        <f t="shared" si="2"/>
        <v>12324.1</v>
      </c>
      <c r="N18" s="47">
        <f t="shared" si="2"/>
        <v>12324.1</v>
      </c>
      <c r="O18" s="48">
        <f>SUM(C18:N18)</f>
        <v>215982.10053010148</v>
      </c>
      <c r="P18" s="9">
        <f>SUM(P12:P17)</f>
        <v>187707.87999999998</v>
      </c>
      <c r="Q18" s="44"/>
    </row>
    <row r="19" spans="1:481" ht="15" customHeight="1" x14ac:dyDescent="0.25">
      <c r="A19" s="12"/>
      <c r="B19" s="1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43"/>
      <c r="P19" s="9"/>
      <c r="Q19" s="44"/>
    </row>
    <row r="20" spans="1:481" ht="15" customHeight="1" thickBot="1" x14ac:dyDescent="0.3">
      <c r="A20" s="4"/>
      <c r="B20" s="3" t="s">
        <v>21</v>
      </c>
      <c r="C20" s="51">
        <f>SUM(C10,C18)</f>
        <v>82391.62000000001</v>
      </c>
      <c r="D20" s="51">
        <f t="shared" ref="D20:M20" si="3">SUM(D10,D18)</f>
        <v>82391.62000000001</v>
      </c>
      <c r="E20" s="51">
        <f t="shared" si="3"/>
        <v>82391.62000000001</v>
      </c>
      <c r="F20" s="51">
        <f t="shared" si="3"/>
        <v>150484.52053010144</v>
      </c>
      <c r="G20" s="51">
        <f t="shared" si="3"/>
        <v>82391.62000000001</v>
      </c>
      <c r="H20" s="51">
        <f t="shared" si="3"/>
        <v>82559.450000000012</v>
      </c>
      <c r="I20" s="51">
        <f t="shared" si="3"/>
        <v>83854.080000000002</v>
      </c>
      <c r="J20" s="51">
        <f t="shared" si="3"/>
        <v>83854.080000000002</v>
      </c>
      <c r="K20" s="51">
        <f t="shared" si="3"/>
        <v>83854.080000000002</v>
      </c>
      <c r="L20" s="51">
        <f t="shared" si="3"/>
        <v>83854.080000000002</v>
      </c>
      <c r="M20" s="51">
        <f t="shared" si="3"/>
        <v>83854.080000000002</v>
      </c>
      <c r="N20" s="51">
        <f>SUM(N10,N18)</f>
        <v>83854.080000000002</v>
      </c>
      <c r="O20" s="52">
        <f>SUM(O10,O18)</f>
        <v>1065734.9305301015</v>
      </c>
      <c r="P20" s="53">
        <f>P18+P10</f>
        <v>991521.19000000006</v>
      </c>
      <c r="Q20" s="44"/>
    </row>
    <row r="21" spans="1:481" ht="15" customHeight="1" thickTop="1" x14ac:dyDescent="0.25">
      <c r="A21" s="12"/>
      <c r="B21" s="11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/>
      <c r="P21" s="56"/>
      <c r="Q21" s="44"/>
    </row>
    <row r="22" spans="1:481" ht="15" customHeight="1" x14ac:dyDescent="0.25">
      <c r="A22" s="4"/>
      <c r="B22" s="3" t="s">
        <v>22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49"/>
      <c r="P22" s="14"/>
      <c r="Q22" s="44"/>
    </row>
    <row r="23" spans="1:481" ht="15" customHeight="1" x14ac:dyDescent="0.25">
      <c r="A23" s="4"/>
      <c r="B23" s="3" t="s">
        <v>23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49"/>
      <c r="P23" s="14"/>
      <c r="Q23" s="44"/>
    </row>
    <row r="24" spans="1:481" ht="15" customHeight="1" x14ac:dyDescent="0.25">
      <c r="A24" s="4"/>
      <c r="B24" s="3" t="s">
        <v>24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49"/>
      <c r="P24" s="14"/>
      <c r="Q24" s="44"/>
    </row>
    <row r="25" spans="1:481" ht="15" customHeight="1" x14ac:dyDescent="0.25">
      <c r="A25" s="12" t="s">
        <v>25</v>
      </c>
      <c r="B25" s="11" t="s">
        <v>26</v>
      </c>
      <c r="C25" s="13">
        <v>350</v>
      </c>
      <c r="D25" s="13">
        <v>350</v>
      </c>
      <c r="E25" s="13">
        <v>360</v>
      </c>
      <c r="F25" s="13">
        <v>360</v>
      </c>
      <c r="G25" s="13">
        <v>360</v>
      </c>
      <c r="H25" s="13">
        <v>370</v>
      </c>
      <c r="I25" s="13">
        <v>380</v>
      </c>
      <c r="J25" s="13">
        <v>380</v>
      </c>
      <c r="K25" s="13">
        <v>400</v>
      </c>
      <c r="L25" s="13">
        <v>400</v>
      </c>
      <c r="M25" s="13">
        <v>380</v>
      </c>
      <c r="N25" s="13">
        <v>350</v>
      </c>
      <c r="O25" s="43">
        <f>SUM(C25:N25)</f>
        <v>4440</v>
      </c>
      <c r="P25" s="9">
        <f>'2022 Reforecast'!O29</f>
        <v>4382.32</v>
      </c>
      <c r="Q25" s="44"/>
    </row>
    <row r="26" spans="1:481" ht="15" customHeight="1" x14ac:dyDescent="0.25">
      <c r="A26" s="12" t="s">
        <v>27</v>
      </c>
      <c r="B26" s="11" t="s">
        <v>28</v>
      </c>
      <c r="C26" s="13">
        <v>280</v>
      </c>
      <c r="D26" s="13">
        <v>280</v>
      </c>
      <c r="E26" s="13">
        <v>280</v>
      </c>
      <c r="F26" s="13">
        <v>280</v>
      </c>
      <c r="G26" s="13">
        <v>280</v>
      </c>
      <c r="H26" s="13">
        <v>280</v>
      </c>
      <c r="I26" s="13">
        <v>300</v>
      </c>
      <c r="J26" s="13">
        <v>300</v>
      </c>
      <c r="K26" s="13">
        <v>300</v>
      </c>
      <c r="L26" s="13">
        <v>300</v>
      </c>
      <c r="M26" s="13">
        <v>280</v>
      </c>
      <c r="N26" s="13">
        <v>0</v>
      </c>
      <c r="O26" s="43">
        <f t="shared" ref="O26:O37" si="4">SUM(C26:N26)</f>
        <v>3160</v>
      </c>
      <c r="P26" s="9">
        <f>'2022 Reforecast'!O30</f>
        <v>3488.37</v>
      </c>
      <c r="Q26" s="44"/>
      <c r="RM26" s="1">
        <v>1</v>
      </c>
    </row>
    <row r="27" spans="1:481" ht="15" customHeight="1" x14ac:dyDescent="0.25">
      <c r="A27" s="12" t="s">
        <v>29</v>
      </c>
      <c r="B27" s="11" t="s">
        <v>30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500</v>
      </c>
      <c r="L27" s="13">
        <v>0</v>
      </c>
      <c r="M27" s="13">
        <v>0</v>
      </c>
      <c r="N27" s="13">
        <v>0</v>
      </c>
      <c r="O27" s="43">
        <f t="shared" si="4"/>
        <v>500</v>
      </c>
      <c r="P27" s="9">
        <f>'2022 Reforecast'!O31</f>
        <v>0</v>
      </c>
      <c r="Q27" s="44"/>
    </row>
    <row r="28" spans="1:481" ht="15" customHeight="1" x14ac:dyDescent="0.25">
      <c r="A28" s="12" t="s">
        <v>31</v>
      </c>
      <c r="B28" s="11" t="s">
        <v>32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250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43">
        <f t="shared" si="4"/>
        <v>250</v>
      </c>
      <c r="P28" s="9">
        <f>'2022 Reforecast'!O32</f>
        <v>185</v>
      </c>
      <c r="Q28" s="44"/>
    </row>
    <row r="29" spans="1:481" ht="15" customHeight="1" x14ac:dyDescent="0.25">
      <c r="A29" s="12" t="s">
        <v>33</v>
      </c>
      <c r="B29" s="11" t="s">
        <v>34</v>
      </c>
      <c r="C29" s="13">
        <v>575</v>
      </c>
      <c r="D29" s="13">
        <v>575</v>
      </c>
      <c r="E29" s="13">
        <v>1575</v>
      </c>
      <c r="F29" s="13">
        <v>575</v>
      </c>
      <c r="G29" s="13">
        <v>575</v>
      </c>
      <c r="H29" s="13">
        <v>575</v>
      </c>
      <c r="I29" s="13">
        <v>575</v>
      </c>
      <c r="J29" s="13">
        <v>575</v>
      </c>
      <c r="K29" s="13">
        <v>575</v>
      </c>
      <c r="L29" s="13">
        <v>575</v>
      </c>
      <c r="M29" s="13">
        <v>575</v>
      </c>
      <c r="N29" s="13">
        <v>575</v>
      </c>
      <c r="O29" s="43">
        <f t="shared" si="4"/>
        <v>7900</v>
      </c>
      <c r="P29" s="9">
        <f>'2022 Reforecast'!O33</f>
        <v>7300</v>
      </c>
      <c r="Q29" s="44"/>
    </row>
    <row r="30" spans="1:481" ht="15" customHeight="1" x14ac:dyDescent="0.25">
      <c r="A30" s="12" t="s">
        <v>35</v>
      </c>
      <c r="B30" s="11" t="s">
        <v>36</v>
      </c>
      <c r="C30" s="13">
        <v>975</v>
      </c>
      <c r="D30" s="13">
        <v>975</v>
      </c>
      <c r="E30" s="13">
        <v>975</v>
      </c>
      <c r="F30" s="13">
        <v>975</v>
      </c>
      <c r="G30" s="13">
        <v>975</v>
      </c>
      <c r="H30" s="13">
        <v>975</v>
      </c>
      <c r="I30" s="13">
        <v>975</v>
      </c>
      <c r="J30" s="13">
        <v>975</v>
      </c>
      <c r="K30" s="13">
        <v>975</v>
      </c>
      <c r="L30" s="13">
        <v>975</v>
      </c>
      <c r="M30" s="13">
        <v>975</v>
      </c>
      <c r="N30" s="13">
        <v>975</v>
      </c>
      <c r="O30" s="43">
        <f t="shared" si="4"/>
        <v>11700</v>
      </c>
      <c r="P30" s="9">
        <f>'2022 Reforecast'!O34</f>
        <v>1480</v>
      </c>
      <c r="Q30" s="44"/>
    </row>
    <row r="31" spans="1:481" ht="15" customHeight="1" x14ac:dyDescent="0.25">
      <c r="A31" s="12" t="s">
        <v>37</v>
      </c>
      <c r="B31" s="11" t="s">
        <v>38</v>
      </c>
      <c r="C31" s="13">
        <v>1500</v>
      </c>
      <c r="D31" s="13">
        <v>1500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1000</v>
      </c>
      <c r="O31" s="43">
        <f t="shared" si="4"/>
        <v>4000</v>
      </c>
      <c r="P31" s="9">
        <f>'2022 Reforecast'!O35</f>
        <v>11691</v>
      </c>
      <c r="Q31" s="44"/>
    </row>
    <row r="32" spans="1:481" ht="15" customHeight="1" x14ac:dyDescent="0.25">
      <c r="A32" s="12" t="s">
        <v>39</v>
      </c>
      <c r="B32" s="11" t="s">
        <v>40</v>
      </c>
      <c r="C32" s="13">
        <v>400</v>
      </c>
      <c r="D32" s="13">
        <v>400</v>
      </c>
      <c r="E32" s="13">
        <v>400</v>
      </c>
      <c r="F32" s="13">
        <v>400</v>
      </c>
      <c r="G32" s="13">
        <v>400</v>
      </c>
      <c r="H32" s="13">
        <v>400</v>
      </c>
      <c r="I32" s="13">
        <v>400</v>
      </c>
      <c r="J32" s="13">
        <v>400</v>
      </c>
      <c r="K32" s="13">
        <v>400</v>
      </c>
      <c r="L32" s="13">
        <v>400</v>
      </c>
      <c r="M32" s="13">
        <v>400</v>
      </c>
      <c r="N32" s="13">
        <v>400</v>
      </c>
      <c r="O32" s="43">
        <f t="shared" si="4"/>
        <v>4800</v>
      </c>
      <c r="P32" s="9">
        <f>'2022 Reforecast'!O36</f>
        <v>6214.6</v>
      </c>
      <c r="Q32" s="44"/>
    </row>
    <row r="33" spans="1:17" ht="15" customHeight="1" x14ac:dyDescent="0.25">
      <c r="A33" s="12" t="s">
        <v>41</v>
      </c>
      <c r="B33" s="11" t="s">
        <v>42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43">
        <f t="shared" si="4"/>
        <v>0</v>
      </c>
      <c r="P33" s="9">
        <f>'2022 Reforecast'!O37</f>
        <v>9278.61</v>
      </c>
      <c r="Q33" s="44"/>
    </row>
    <row r="34" spans="1:17" ht="15" customHeight="1" x14ac:dyDescent="0.25">
      <c r="A34" s="12" t="s">
        <v>43</v>
      </c>
      <c r="B34" s="11" t="s">
        <v>301</v>
      </c>
      <c r="C34" s="13">
        <v>0</v>
      </c>
      <c r="D34" s="13">
        <v>0</v>
      </c>
      <c r="E34" s="13">
        <v>0</v>
      </c>
      <c r="F34" s="13">
        <v>300</v>
      </c>
      <c r="G34" s="13">
        <v>0</v>
      </c>
      <c r="H34" s="13">
        <v>0</v>
      </c>
      <c r="I34" s="13">
        <v>0</v>
      </c>
      <c r="J34" s="13">
        <v>300</v>
      </c>
      <c r="K34" s="13">
        <v>0</v>
      </c>
      <c r="L34" s="13">
        <v>0</v>
      </c>
      <c r="M34" s="13">
        <v>0</v>
      </c>
      <c r="N34" s="13">
        <v>0</v>
      </c>
      <c r="O34" s="43">
        <f t="shared" si="4"/>
        <v>600</v>
      </c>
      <c r="P34" s="9">
        <f>'2022 Reforecast'!O38</f>
        <v>100662.32</v>
      </c>
      <c r="Q34" s="44"/>
    </row>
    <row r="35" spans="1:17" ht="15" customHeight="1" x14ac:dyDescent="0.25">
      <c r="A35" s="12" t="s">
        <v>44</v>
      </c>
      <c r="B35" s="11" t="s">
        <v>45</v>
      </c>
      <c r="C35" s="13">
        <v>925</v>
      </c>
      <c r="D35" s="13">
        <v>925</v>
      </c>
      <c r="E35" s="13">
        <v>925</v>
      </c>
      <c r="F35" s="13">
        <v>925</v>
      </c>
      <c r="G35" s="13">
        <v>925</v>
      </c>
      <c r="H35" s="13">
        <v>925</v>
      </c>
      <c r="I35" s="13">
        <v>925</v>
      </c>
      <c r="J35" s="13">
        <v>925</v>
      </c>
      <c r="K35" s="13">
        <v>925</v>
      </c>
      <c r="L35" s="13">
        <v>925</v>
      </c>
      <c r="M35" s="13">
        <v>925</v>
      </c>
      <c r="N35" s="13">
        <v>925</v>
      </c>
      <c r="O35" s="43">
        <f t="shared" si="4"/>
        <v>11100</v>
      </c>
      <c r="P35" s="9">
        <f>'2022 Reforecast'!O39</f>
        <v>500</v>
      </c>
      <c r="Q35" s="44"/>
    </row>
    <row r="36" spans="1:17" ht="15" customHeight="1" x14ac:dyDescent="0.25">
      <c r="A36" s="12" t="s">
        <v>46</v>
      </c>
      <c r="B36" s="11" t="s">
        <v>47</v>
      </c>
      <c r="C36" s="13">
        <v>420</v>
      </c>
      <c r="D36" s="13">
        <v>420</v>
      </c>
      <c r="E36" s="13">
        <v>420</v>
      </c>
      <c r="F36" s="13">
        <v>420</v>
      </c>
      <c r="G36" s="13">
        <v>420</v>
      </c>
      <c r="H36" s="13">
        <v>420</v>
      </c>
      <c r="I36" s="13">
        <v>420</v>
      </c>
      <c r="J36" s="13">
        <v>420</v>
      </c>
      <c r="K36" s="13">
        <v>420</v>
      </c>
      <c r="L36" s="13">
        <v>420</v>
      </c>
      <c r="M36" s="13">
        <v>420</v>
      </c>
      <c r="N36" s="13">
        <v>420</v>
      </c>
      <c r="O36" s="43">
        <f t="shared" si="4"/>
        <v>5040</v>
      </c>
      <c r="P36" s="9">
        <f>'2022 Reforecast'!O40</f>
        <v>11662.4</v>
      </c>
      <c r="Q36" s="44" t="s">
        <v>412</v>
      </c>
    </row>
    <row r="37" spans="1:17" ht="15" customHeight="1" x14ac:dyDescent="0.25">
      <c r="A37" s="12" t="s">
        <v>48</v>
      </c>
      <c r="B37" s="11" t="s">
        <v>296</v>
      </c>
      <c r="C37" s="13">
        <v>0</v>
      </c>
      <c r="D37" s="13">
        <v>0</v>
      </c>
      <c r="E37" s="13">
        <v>0</v>
      </c>
      <c r="F37" s="13">
        <v>0</v>
      </c>
      <c r="G37" s="13">
        <v>500</v>
      </c>
      <c r="H37" s="13">
        <v>0</v>
      </c>
      <c r="I37" s="13">
        <v>0</v>
      </c>
      <c r="J37" s="13">
        <v>0</v>
      </c>
      <c r="K37" s="13">
        <v>500</v>
      </c>
      <c r="L37" s="13">
        <v>0</v>
      </c>
      <c r="M37" s="13">
        <v>0</v>
      </c>
      <c r="N37" s="13">
        <v>0</v>
      </c>
      <c r="O37" s="57">
        <f t="shared" si="4"/>
        <v>1000</v>
      </c>
      <c r="P37" s="46">
        <f>'2022 Reforecast'!O42</f>
        <v>0</v>
      </c>
      <c r="Q37" s="44"/>
    </row>
    <row r="38" spans="1:17" ht="15" customHeight="1" x14ac:dyDescent="0.25">
      <c r="A38" s="12"/>
      <c r="B38" s="11" t="s">
        <v>50</v>
      </c>
      <c r="C38" s="47">
        <f t="shared" ref="C38:N38" si="5">SUM(C25:C37)</f>
        <v>5425</v>
      </c>
      <c r="D38" s="47">
        <f t="shared" si="5"/>
        <v>5425</v>
      </c>
      <c r="E38" s="47">
        <f t="shared" si="5"/>
        <v>4935</v>
      </c>
      <c r="F38" s="47">
        <f t="shared" si="5"/>
        <v>4235</v>
      </c>
      <c r="G38" s="47">
        <f t="shared" si="5"/>
        <v>4435</v>
      </c>
      <c r="H38" s="47">
        <f t="shared" si="5"/>
        <v>3945</v>
      </c>
      <c r="I38" s="47">
        <f t="shared" si="5"/>
        <v>4225</v>
      </c>
      <c r="J38" s="47">
        <f t="shared" si="5"/>
        <v>4275</v>
      </c>
      <c r="K38" s="47">
        <f t="shared" si="5"/>
        <v>4995</v>
      </c>
      <c r="L38" s="47">
        <f t="shared" si="5"/>
        <v>3995</v>
      </c>
      <c r="M38" s="47">
        <f t="shared" si="5"/>
        <v>3955</v>
      </c>
      <c r="N38" s="47">
        <f t="shared" si="5"/>
        <v>4645</v>
      </c>
      <c r="O38" s="43">
        <f>SUM(C38:N38)</f>
        <v>54490</v>
      </c>
      <c r="P38" s="9">
        <f>SUM(P25:P37)</f>
        <v>156844.62</v>
      </c>
      <c r="Q38" s="44"/>
    </row>
    <row r="39" spans="1:17" ht="15" customHeight="1" x14ac:dyDescent="0.25">
      <c r="A39" s="4"/>
      <c r="B39" s="3" t="s">
        <v>51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49"/>
      <c r="P39" s="14"/>
      <c r="Q39" s="44"/>
    </row>
    <row r="40" spans="1:17" ht="15" customHeight="1" x14ac:dyDescent="0.25">
      <c r="A40" s="12" t="s">
        <v>52</v>
      </c>
      <c r="B40" s="11" t="s">
        <v>53</v>
      </c>
      <c r="C40" s="13">
        <v>6000</v>
      </c>
      <c r="D40" s="13">
        <v>6000</v>
      </c>
      <c r="E40" s="13">
        <v>6000</v>
      </c>
      <c r="F40" s="13">
        <v>6000</v>
      </c>
      <c r="G40" s="13">
        <v>6000</v>
      </c>
      <c r="H40" s="13">
        <v>6000</v>
      </c>
      <c r="I40" s="13">
        <v>6000</v>
      </c>
      <c r="J40" s="13">
        <v>6000</v>
      </c>
      <c r="K40" s="13">
        <v>6000</v>
      </c>
      <c r="L40" s="13">
        <v>6000</v>
      </c>
      <c r="M40" s="13">
        <v>6000</v>
      </c>
      <c r="N40" s="13">
        <v>6000</v>
      </c>
      <c r="O40" s="43">
        <f>SUM(C40:N40)</f>
        <v>72000</v>
      </c>
      <c r="P40" s="316">
        <f>'2022 Reforecast'!O48+'2022 Reforecast'!O49+'2022 Reforecast'!O50</f>
        <v>97332</v>
      </c>
      <c r="Q40" s="44" t="s">
        <v>421</v>
      </c>
    </row>
    <row r="41" spans="1:17" ht="15" customHeight="1" x14ac:dyDescent="0.25">
      <c r="A41" s="12" t="s">
        <v>54</v>
      </c>
      <c r="B41" s="11" t="s">
        <v>55</v>
      </c>
      <c r="C41" s="10">
        <v>5200</v>
      </c>
      <c r="D41" s="10">
        <v>5200</v>
      </c>
      <c r="E41" s="10">
        <v>5200</v>
      </c>
      <c r="F41" s="10">
        <v>5200</v>
      </c>
      <c r="G41" s="10">
        <v>5200</v>
      </c>
      <c r="H41" s="10">
        <v>5200</v>
      </c>
      <c r="I41" s="10">
        <v>5200</v>
      </c>
      <c r="J41" s="10">
        <v>5200</v>
      </c>
      <c r="K41" s="10">
        <v>5200</v>
      </c>
      <c r="L41" s="10">
        <v>5200</v>
      </c>
      <c r="M41" s="10">
        <v>5200</v>
      </c>
      <c r="N41" s="10">
        <v>5200</v>
      </c>
      <c r="O41" s="43">
        <f>SUM(C41:N41)</f>
        <v>62400</v>
      </c>
      <c r="P41" s="46">
        <f>'2022 Reforecast'!O51</f>
        <v>49616.039999999986</v>
      </c>
      <c r="Q41" s="44"/>
    </row>
    <row r="42" spans="1:17" ht="15" customHeight="1" x14ac:dyDescent="0.25">
      <c r="A42" s="4"/>
      <c r="B42" s="3" t="s">
        <v>56</v>
      </c>
      <c r="C42" s="47">
        <f t="shared" ref="C42:N42" si="6">SUM(C40:C41)</f>
        <v>11200</v>
      </c>
      <c r="D42" s="47">
        <f t="shared" si="6"/>
        <v>11200</v>
      </c>
      <c r="E42" s="47">
        <f t="shared" si="6"/>
        <v>11200</v>
      </c>
      <c r="F42" s="47">
        <f t="shared" si="6"/>
        <v>11200</v>
      </c>
      <c r="G42" s="47">
        <f t="shared" si="6"/>
        <v>11200</v>
      </c>
      <c r="H42" s="47">
        <f t="shared" si="6"/>
        <v>11200</v>
      </c>
      <c r="I42" s="47">
        <f t="shared" si="6"/>
        <v>11200</v>
      </c>
      <c r="J42" s="47">
        <f t="shared" si="6"/>
        <v>11200</v>
      </c>
      <c r="K42" s="47">
        <f t="shared" si="6"/>
        <v>11200</v>
      </c>
      <c r="L42" s="47">
        <f t="shared" si="6"/>
        <v>11200</v>
      </c>
      <c r="M42" s="47">
        <f t="shared" si="6"/>
        <v>11200</v>
      </c>
      <c r="N42" s="47">
        <f t="shared" si="6"/>
        <v>11200</v>
      </c>
      <c r="O42" s="48">
        <f>SUM(C42:N42)</f>
        <v>134400</v>
      </c>
      <c r="P42" s="9">
        <f>SUM(P40:P41)</f>
        <v>146948.03999999998</v>
      </c>
      <c r="Q42" s="44"/>
    </row>
    <row r="43" spans="1:17" ht="15" customHeight="1" x14ac:dyDescent="0.25">
      <c r="A43" s="4"/>
      <c r="B43" s="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43"/>
      <c r="P43" s="9"/>
      <c r="Q43" s="44"/>
    </row>
    <row r="44" spans="1:17" ht="15" customHeight="1" x14ac:dyDescent="0.25">
      <c r="A44" s="4"/>
      <c r="B44" s="3" t="s">
        <v>57</v>
      </c>
      <c r="C44" s="58">
        <f t="shared" ref="C44:O44" si="7">SUM(C38,C42)</f>
        <v>16625</v>
      </c>
      <c r="D44" s="58">
        <f t="shared" si="7"/>
        <v>16625</v>
      </c>
      <c r="E44" s="58">
        <f t="shared" si="7"/>
        <v>16135</v>
      </c>
      <c r="F44" s="58">
        <f t="shared" si="7"/>
        <v>15435</v>
      </c>
      <c r="G44" s="58">
        <f t="shared" si="7"/>
        <v>15635</v>
      </c>
      <c r="H44" s="58">
        <f t="shared" si="7"/>
        <v>15145</v>
      </c>
      <c r="I44" s="58">
        <f t="shared" si="7"/>
        <v>15425</v>
      </c>
      <c r="J44" s="58">
        <f t="shared" si="7"/>
        <v>15475</v>
      </c>
      <c r="K44" s="58">
        <f t="shared" si="7"/>
        <v>16195</v>
      </c>
      <c r="L44" s="58">
        <f t="shared" si="7"/>
        <v>15195</v>
      </c>
      <c r="M44" s="58">
        <f t="shared" si="7"/>
        <v>15155</v>
      </c>
      <c r="N44" s="58">
        <f t="shared" si="7"/>
        <v>15845</v>
      </c>
      <c r="O44" s="59">
        <f t="shared" si="7"/>
        <v>188890</v>
      </c>
      <c r="P44" s="60">
        <f>P42+P38</f>
        <v>303792.65999999997</v>
      </c>
      <c r="Q44" s="44"/>
    </row>
    <row r="45" spans="1:17" ht="15" customHeight="1" x14ac:dyDescent="0.25">
      <c r="A45" s="4"/>
      <c r="B45" s="3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2"/>
      <c r="P45" s="63"/>
      <c r="Q45" s="44"/>
    </row>
    <row r="46" spans="1:17" ht="15" customHeight="1" x14ac:dyDescent="0.25">
      <c r="A46" s="4"/>
      <c r="B46" s="3" t="s">
        <v>58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42"/>
      <c r="P46" s="20"/>
      <c r="Q46" s="44"/>
    </row>
    <row r="47" spans="1:17" ht="15" customHeight="1" x14ac:dyDescent="0.25">
      <c r="A47" s="4"/>
      <c r="B47" s="3" t="s">
        <v>59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42"/>
      <c r="P47" s="20"/>
      <c r="Q47" s="44"/>
    </row>
    <row r="48" spans="1:17" ht="15" customHeight="1" x14ac:dyDescent="0.25">
      <c r="A48" s="12" t="s">
        <v>60</v>
      </c>
      <c r="B48" s="11" t="s">
        <v>61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43">
        <f>SUM(C48:N48)</f>
        <v>0</v>
      </c>
      <c r="P48" s="9">
        <f>'2022 Reforecast'!O60</f>
        <v>0</v>
      </c>
      <c r="Q48" s="44"/>
    </row>
    <row r="49" spans="1:17" ht="15" customHeight="1" x14ac:dyDescent="0.25">
      <c r="A49" s="12" t="s">
        <v>62</v>
      </c>
      <c r="B49" s="11" t="s">
        <v>63</v>
      </c>
      <c r="C49" s="10">
        <v>0</v>
      </c>
      <c r="D49" s="10">
        <v>0</v>
      </c>
      <c r="E49" s="10">
        <v>0</v>
      </c>
      <c r="F49" s="10">
        <v>500</v>
      </c>
      <c r="G49" s="10">
        <v>0</v>
      </c>
      <c r="H49" s="10">
        <v>0</v>
      </c>
      <c r="I49" s="10">
        <v>0</v>
      </c>
      <c r="J49" s="10">
        <v>0</v>
      </c>
      <c r="K49" s="10">
        <v>500</v>
      </c>
      <c r="L49" s="10">
        <v>0</v>
      </c>
      <c r="M49" s="10">
        <v>0</v>
      </c>
      <c r="N49" s="10">
        <v>0</v>
      </c>
      <c r="O49" s="43">
        <f t="shared" ref="O49" si="8">SUM(C49:N49)</f>
        <v>1000</v>
      </c>
      <c r="P49" s="46">
        <f>'2022 Reforecast'!O61</f>
        <v>3273.25</v>
      </c>
      <c r="Q49" s="44"/>
    </row>
    <row r="50" spans="1:17" ht="15" customHeight="1" x14ac:dyDescent="0.25">
      <c r="A50" s="12"/>
      <c r="B50" s="11" t="s">
        <v>64</v>
      </c>
      <c r="C50" s="47">
        <f t="shared" ref="C50:N50" si="9">SUM(C48:C49)</f>
        <v>0</v>
      </c>
      <c r="D50" s="47">
        <f t="shared" si="9"/>
        <v>0</v>
      </c>
      <c r="E50" s="47">
        <f t="shared" si="9"/>
        <v>0</v>
      </c>
      <c r="F50" s="47">
        <f t="shared" si="9"/>
        <v>500</v>
      </c>
      <c r="G50" s="47">
        <f t="shared" si="9"/>
        <v>0</v>
      </c>
      <c r="H50" s="47">
        <f t="shared" si="9"/>
        <v>0</v>
      </c>
      <c r="I50" s="47">
        <f t="shared" si="9"/>
        <v>0</v>
      </c>
      <c r="J50" s="47">
        <f t="shared" si="9"/>
        <v>0</v>
      </c>
      <c r="K50" s="47">
        <f t="shared" si="9"/>
        <v>500</v>
      </c>
      <c r="L50" s="47">
        <f t="shared" si="9"/>
        <v>0</v>
      </c>
      <c r="M50" s="47">
        <f t="shared" si="9"/>
        <v>0</v>
      </c>
      <c r="N50" s="47">
        <f t="shared" si="9"/>
        <v>0</v>
      </c>
      <c r="O50" s="48">
        <f>SUM(C50:N50)</f>
        <v>1000</v>
      </c>
      <c r="P50" s="9">
        <f>SUM(P48:P49)</f>
        <v>3273.25</v>
      </c>
      <c r="Q50" s="44"/>
    </row>
    <row r="51" spans="1:17" ht="15" customHeight="1" x14ac:dyDescent="0.25">
      <c r="A51" s="4"/>
      <c r="B51" s="3" t="s">
        <v>65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49"/>
      <c r="P51" s="14"/>
      <c r="Q51" s="44"/>
    </row>
    <row r="52" spans="1:17" x14ac:dyDescent="0.25">
      <c r="A52" s="12" t="s">
        <v>49</v>
      </c>
      <c r="B52" s="11" t="s">
        <v>297</v>
      </c>
      <c r="C52" s="13">
        <f t="shared" ref="C52:N52" si="10">C20*0.04</f>
        <v>3295.6648000000005</v>
      </c>
      <c r="D52" s="13">
        <f t="shared" si="10"/>
        <v>3295.6648000000005</v>
      </c>
      <c r="E52" s="13">
        <f t="shared" si="10"/>
        <v>3295.6648000000005</v>
      </c>
      <c r="F52" s="13">
        <f t="shared" si="10"/>
        <v>6019.3808212040576</v>
      </c>
      <c r="G52" s="13">
        <f t="shared" si="10"/>
        <v>3295.6648000000005</v>
      </c>
      <c r="H52" s="13">
        <f t="shared" si="10"/>
        <v>3302.3780000000006</v>
      </c>
      <c r="I52" s="13">
        <f t="shared" si="10"/>
        <v>3354.1632</v>
      </c>
      <c r="J52" s="13">
        <f t="shared" si="10"/>
        <v>3354.1632</v>
      </c>
      <c r="K52" s="13">
        <f t="shared" si="10"/>
        <v>3354.1632</v>
      </c>
      <c r="L52" s="13">
        <f t="shared" si="10"/>
        <v>3354.1632</v>
      </c>
      <c r="M52" s="13">
        <f t="shared" si="10"/>
        <v>3354.1632</v>
      </c>
      <c r="N52" s="13">
        <f t="shared" si="10"/>
        <v>3354.1632</v>
      </c>
      <c r="O52" s="43">
        <f>SUM(C52:N52)</f>
        <v>42629.397221204068</v>
      </c>
      <c r="P52" s="9">
        <f>'2022 Reforecast'!O65</f>
        <v>40447.42</v>
      </c>
      <c r="Q52" s="64" t="s">
        <v>193</v>
      </c>
    </row>
    <row r="53" spans="1:17" ht="15" customHeight="1" x14ac:dyDescent="0.25">
      <c r="A53" s="12" t="s">
        <v>332</v>
      </c>
      <c r="B53" s="11" t="s">
        <v>355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6500</v>
      </c>
      <c r="K53" s="13">
        <v>0</v>
      </c>
      <c r="L53" s="13">
        <v>0</v>
      </c>
      <c r="M53" s="13">
        <v>0</v>
      </c>
      <c r="N53" s="13">
        <v>0</v>
      </c>
      <c r="O53" s="43">
        <f>SUM(C53:N53)</f>
        <v>6500</v>
      </c>
      <c r="P53" s="9">
        <f>'2022 Reforecast'!O66</f>
        <v>3000</v>
      </c>
      <c r="Q53" s="44"/>
    </row>
    <row r="54" spans="1:17" ht="15" customHeight="1" x14ac:dyDescent="0.25">
      <c r="A54" s="12" t="s">
        <v>66</v>
      </c>
      <c r="B54" s="11" t="s">
        <v>67</v>
      </c>
      <c r="C54" s="10">
        <v>750</v>
      </c>
      <c r="D54" s="10">
        <v>750</v>
      </c>
      <c r="E54" s="10">
        <v>750</v>
      </c>
      <c r="F54" s="10">
        <v>750</v>
      </c>
      <c r="G54" s="10">
        <v>750</v>
      </c>
      <c r="H54" s="10">
        <v>750</v>
      </c>
      <c r="I54" s="10">
        <v>750</v>
      </c>
      <c r="J54" s="10">
        <v>750</v>
      </c>
      <c r="K54" s="10">
        <v>750</v>
      </c>
      <c r="L54" s="10">
        <v>750</v>
      </c>
      <c r="M54" s="10">
        <v>750</v>
      </c>
      <c r="N54" s="10">
        <v>750</v>
      </c>
      <c r="O54" s="43">
        <f>SUM(C54:N54)</f>
        <v>9000</v>
      </c>
      <c r="P54" s="46">
        <f>'2022 Reforecast'!O67</f>
        <v>9189.93</v>
      </c>
      <c r="Q54" s="44" t="s">
        <v>413</v>
      </c>
    </row>
    <row r="55" spans="1:17" ht="15" customHeight="1" x14ac:dyDescent="0.25">
      <c r="A55" s="12"/>
      <c r="B55" s="11" t="s">
        <v>68</v>
      </c>
      <c r="C55" s="47">
        <f>SUM(C52:C54)</f>
        <v>4045.6648000000005</v>
      </c>
      <c r="D55" s="47">
        <f t="shared" ref="D55:M55" si="11">SUM(D52:D54)</f>
        <v>4045.6648000000005</v>
      </c>
      <c r="E55" s="47">
        <f t="shared" si="11"/>
        <v>4045.6648000000005</v>
      </c>
      <c r="F55" s="47">
        <f t="shared" si="11"/>
        <v>6769.3808212040576</v>
      </c>
      <c r="G55" s="47">
        <f t="shared" si="11"/>
        <v>4045.6648000000005</v>
      </c>
      <c r="H55" s="47">
        <f t="shared" si="11"/>
        <v>4052.3780000000006</v>
      </c>
      <c r="I55" s="47">
        <f t="shared" si="11"/>
        <v>4104.1632</v>
      </c>
      <c r="J55" s="47">
        <f t="shared" si="11"/>
        <v>10604.163199999999</v>
      </c>
      <c r="K55" s="47">
        <f t="shared" si="11"/>
        <v>4104.1632</v>
      </c>
      <c r="L55" s="47">
        <f t="shared" si="11"/>
        <v>4104.1632</v>
      </c>
      <c r="M55" s="47">
        <f t="shared" si="11"/>
        <v>4104.1632</v>
      </c>
      <c r="N55" s="47">
        <f>SUM(N52:N54)</f>
        <v>4104.1632</v>
      </c>
      <c r="O55" s="48">
        <f>SUM(C55:N55)</f>
        <v>58129.397221204068</v>
      </c>
      <c r="P55" s="9">
        <f>SUM(P52:P54)</f>
        <v>52637.35</v>
      </c>
      <c r="Q55" s="44"/>
    </row>
    <row r="56" spans="1:17" ht="15" customHeight="1" x14ac:dyDescent="0.25">
      <c r="A56" s="4"/>
      <c r="B56" s="3" t="s">
        <v>69</v>
      </c>
      <c r="C56" s="15">
        <f>SUM(C50,C55)</f>
        <v>4045.6648000000005</v>
      </c>
      <c r="D56" s="15">
        <f t="shared" ref="D56:L56" si="12">SUM(D50,D55)</f>
        <v>4045.6648000000005</v>
      </c>
      <c r="E56" s="15">
        <f t="shared" si="12"/>
        <v>4045.6648000000005</v>
      </c>
      <c r="F56" s="15">
        <f t="shared" si="12"/>
        <v>7269.3808212040576</v>
      </c>
      <c r="G56" s="15">
        <f t="shared" si="12"/>
        <v>4045.6648000000005</v>
      </c>
      <c r="H56" s="15">
        <f t="shared" si="12"/>
        <v>4052.3780000000006</v>
      </c>
      <c r="I56" s="15">
        <f t="shared" si="12"/>
        <v>4104.1632</v>
      </c>
      <c r="J56" s="15">
        <f t="shared" si="12"/>
        <v>10604.163199999999</v>
      </c>
      <c r="K56" s="15">
        <f>SUM(K50,K55)</f>
        <v>4604.1632</v>
      </c>
      <c r="L56" s="15">
        <f t="shared" si="12"/>
        <v>4104.1632</v>
      </c>
      <c r="M56" s="15">
        <f>SUM(M50,M55)</f>
        <v>4104.1632</v>
      </c>
      <c r="N56" s="15">
        <f>SUM(N50,N55)</f>
        <v>4104.1632</v>
      </c>
      <c r="O56" s="49">
        <f>SUM(O50,O55)</f>
        <v>59129.397221204068</v>
      </c>
      <c r="P56" s="14">
        <f>P55+P50</f>
        <v>55910.6</v>
      </c>
      <c r="Q56" s="44"/>
    </row>
    <row r="57" spans="1:17" ht="15" customHeight="1" x14ac:dyDescent="0.25">
      <c r="A57" s="4"/>
      <c r="B57" s="3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49"/>
      <c r="P57" s="14"/>
      <c r="Q57" s="44"/>
    </row>
    <row r="58" spans="1:17" ht="15" customHeight="1" x14ac:dyDescent="0.25">
      <c r="A58" s="4"/>
      <c r="B58" s="3" t="s">
        <v>70</v>
      </c>
      <c r="C58" s="58">
        <f t="shared" ref="C58:O58" si="13">SUM(C44,C56)</f>
        <v>20670.664799999999</v>
      </c>
      <c r="D58" s="58">
        <f t="shared" si="13"/>
        <v>20670.664799999999</v>
      </c>
      <c r="E58" s="58">
        <f t="shared" si="13"/>
        <v>20180.664799999999</v>
      </c>
      <c r="F58" s="58">
        <f t="shared" si="13"/>
        <v>22704.380821204057</v>
      </c>
      <c r="G58" s="58">
        <f t="shared" si="13"/>
        <v>19680.664799999999</v>
      </c>
      <c r="H58" s="58">
        <f t="shared" si="13"/>
        <v>19197.378000000001</v>
      </c>
      <c r="I58" s="58">
        <f t="shared" si="13"/>
        <v>19529.163199999999</v>
      </c>
      <c r="J58" s="58">
        <f t="shared" si="13"/>
        <v>26079.163199999999</v>
      </c>
      <c r="K58" s="58">
        <f t="shared" si="13"/>
        <v>20799.163199999999</v>
      </c>
      <c r="L58" s="58">
        <f t="shared" si="13"/>
        <v>19299.163199999999</v>
      </c>
      <c r="M58" s="58">
        <f t="shared" si="13"/>
        <v>19259.163199999999</v>
      </c>
      <c r="N58" s="58">
        <f t="shared" si="13"/>
        <v>19949.163199999999</v>
      </c>
      <c r="O58" s="59">
        <f t="shared" si="13"/>
        <v>248019.39722120407</v>
      </c>
      <c r="P58" s="60">
        <f>P56+P44</f>
        <v>359703.25999999995</v>
      </c>
    </row>
    <row r="59" spans="1:17" ht="15" customHeight="1" x14ac:dyDescent="0.25">
      <c r="A59" s="12"/>
      <c r="B59" s="11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5"/>
      <c r="P59" s="56"/>
    </row>
    <row r="60" spans="1:17" ht="15" customHeight="1" thickBot="1" x14ac:dyDescent="0.3">
      <c r="A60" s="4"/>
      <c r="B60" s="3" t="s">
        <v>71</v>
      </c>
      <c r="C60" s="51">
        <f t="shared" ref="C60:O60" si="14">SUM(C20-C58)</f>
        <v>61720.955200000011</v>
      </c>
      <c r="D60" s="51">
        <f t="shared" si="14"/>
        <v>61720.955200000011</v>
      </c>
      <c r="E60" s="51">
        <f t="shared" si="14"/>
        <v>62210.955200000011</v>
      </c>
      <c r="F60" s="51">
        <f t="shared" si="14"/>
        <v>127780.13970889738</v>
      </c>
      <c r="G60" s="51">
        <f t="shared" si="14"/>
        <v>62710.955200000011</v>
      </c>
      <c r="H60" s="51">
        <f t="shared" si="14"/>
        <v>63362.072000000015</v>
      </c>
      <c r="I60" s="51">
        <f t="shared" si="14"/>
        <v>64324.916800000006</v>
      </c>
      <c r="J60" s="51">
        <f t="shared" si="14"/>
        <v>57774.916800000006</v>
      </c>
      <c r="K60" s="51">
        <f t="shared" si="14"/>
        <v>63054.916800000006</v>
      </c>
      <c r="L60" s="51">
        <f t="shared" si="14"/>
        <v>64554.916800000006</v>
      </c>
      <c r="M60" s="51">
        <f t="shared" si="14"/>
        <v>64594.916800000006</v>
      </c>
      <c r="N60" s="51">
        <f t="shared" si="14"/>
        <v>63904.916800000006</v>
      </c>
      <c r="O60" s="52">
        <f t="shared" si="14"/>
        <v>817715.5333088974</v>
      </c>
      <c r="P60" s="53">
        <f>P20-P58</f>
        <v>631817.93000000017</v>
      </c>
    </row>
    <row r="61" spans="1:17" ht="15" customHeight="1" thickTop="1" x14ac:dyDescent="0.25">
      <c r="A61" s="4"/>
      <c r="B61" s="3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49"/>
      <c r="P61" s="14"/>
    </row>
    <row r="62" spans="1:17" ht="15" customHeight="1" x14ac:dyDescent="0.25">
      <c r="A62" s="4"/>
      <c r="B62" s="3" t="s">
        <v>72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49"/>
      <c r="P62" s="14"/>
    </row>
    <row r="63" spans="1:17" ht="15" customHeight="1" x14ac:dyDescent="0.25">
      <c r="A63" s="12" t="s">
        <v>73</v>
      </c>
      <c r="B63" s="11" t="s">
        <v>74</v>
      </c>
      <c r="C63" s="13">
        <v>506</v>
      </c>
      <c r="D63" s="13">
        <v>506</v>
      </c>
      <c r="E63" s="13">
        <v>506</v>
      </c>
      <c r="F63" s="13">
        <v>506</v>
      </c>
      <c r="G63" s="13">
        <v>506</v>
      </c>
      <c r="H63" s="13">
        <v>506</v>
      </c>
      <c r="I63" s="13">
        <v>506</v>
      </c>
      <c r="J63" s="13">
        <v>506</v>
      </c>
      <c r="K63" s="13">
        <v>506</v>
      </c>
      <c r="L63" s="13">
        <v>506</v>
      </c>
      <c r="M63" s="13">
        <v>506</v>
      </c>
      <c r="N63" s="13">
        <v>506</v>
      </c>
      <c r="O63" s="43">
        <f>SUM(C63:N63)</f>
        <v>6072</v>
      </c>
      <c r="P63" s="9">
        <f>'2022 Reforecast'!O79</f>
        <v>6072</v>
      </c>
    </row>
    <row r="64" spans="1:17" ht="15" customHeight="1" x14ac:dyDescent="0.25">
      <c r="A64" s="12" t="s">
        <v>75</v>
      </c>
      <c r="B64" s="309" t="s">
        <v>76</v>
      </c>
      <c r="C64" s="10">
        <v>17552.5</v>
      </c>
      <c r="D64" s="10">
        <v>15853.87</v>
      </c>
      <c r="E64" s="10">
        <v>17552.5</v>
      </c>
      <c r="F64" s="10">
        <v>16986.29</v>
      </c>
      <c r="G64" s="10">
        <v>17552.5</v>
      </c>
      <c r="H64" s="10">
        <v>16986.29</v>
      </c>
      <c r="I64" s="10">
        <v>17552.5</v>
      </c>
      <c r="J64" s="10">
        <v>17552.5</v>
      </c>
      <c r="K64" s="10">
        <v>16986.29</v>
      </c>
      <c r="L64" s="10">
        <v>17552.5</v>
      </c>
      <c r="M64" s="10">
        <v>16986.29</v>
      </c>
      <c r="N64" s="10">
        <v>17552.5</v>
      </c>
      <c r="O64" s="43">
        <f>SUM(C64:N64)</f>
        <v>206666.53000000003</v>
      </c>
      <c r="P64" s="46">
        <f>'2022 Reforecast'!O83</f>
        <v>206666.53000000003</v>
      </c>
      <c r="Q64" s="1" t="s">
        <v>424</v>
      </c>
    </row>
    <row r="65" spans="1:16" ht="15" customHeight="1" x14ac:dyDescent="0.25">
      <c r="A65" s="12"/>
      <c r="B65" s="11" t="s">
        <v>77</v>
      </c>
      <c r="C65" s="47">
        <f>SUM(C63:C64)</f>
        <v>18058.5</v>
      </c>
      <c r="D65" s="47">
        <f t="shared" ref="D65:N65" si="15">SUM(D63:D64)</f>
        <v>16359.87</v>
      </c>
      <c r="E65" s="47">
        <f t="shared" si="15"/>
        <v>18058.5</v>
      </c>
      <c r="F65" s="47">
        <f>SUM(F63:F64)</f>
        <v>17492.29</v>
      </c>
      <c r="G65" s="47">
        <f t="shared" si="15"/>
        <v>18058.5</v>
      </c>
      <c r="H65" s="47">
        <f t="shared" si="15"/>
        <v>17492.29</v>
      </c>
      <c r="I65" s="47">
        <f t="shared" si="15"/>
        <v>18058.5</v>
      </c>
      <c r="J65" s="47">
        <f t="shared" si="15"/>
        <v>18058.5</v>
      </c>
      <c r="K65" s="47">
        <f t="shared" si="15"/>
        <v>17492.29</v>
      </c>
      <c r="L65" s="47">
        <f t="shared" si="15"/>
        <v>18058.5</v>
      </c>
      <c r="M65" s="47">
        <f t="shared" si="15"/>
        <v>17492.29</v>
      </c>
      <c r="N65" s="47">
        <f t="shared" si="15"/>
        <v>18058.5</v>
      </c>
      <c r="O65" s="48">
        <f>SUM(C65:N65)</f>
        <v>212738.53000000003</v>
      </c>
      <c r="P65" s="9">
        <f>SUM(P63:P64)</f>
        <v>212738.53000000003</v>
      </c>
    </row>
    <row r="66" spans="1:16" ht="15" customHeight="1" x14ac:dyDescent="0.25">
      <c r="A66" s="4"/>
      <c r="B66" s="3" t="s">
        <v>78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49"/>
      <c r="P66" s="14"/>
    </row>
    <row r="67" spans="1:16" ht="15" customHeight="1" x14ac:dyDescent="0.25">
      <c r="A67" s="12" t="s">
        <v>79</v>
      </c>
      <c r="B67" s="11" t="s">
        <v>80</v>
      </c>
      <c r="C67" s="13">
        <v>29670.58</v>
      </c>
      <c r="D67" s="13">
        <v>29630.22</v>
      </c>
      <c r="E67" s="13">
        <v>26726.16</v>
      </c>
      <c r="F67" s="13">
        <v>29536.59</v>
      </c>
      <c r="G67" s="13">
        <v>28544.17</v>
      </c>
      <c r="H67" s="13">
        <v>29450.41</v>
      </c>
      <c r="I67" s="13">
        <v>28460.41</v>
      </c>
      <c r="J67" s="13">
        <v>29363.5</v>
      </c>
      <c r="K67" s="13">
        <v>29321.81</v>
      </c>
      <c r="L67" s="13">
        <v>28335.42</v>
      </c>
      <c r="M67" s="13">
        <v>29233.8</v>
      </c>
      <c r="N67" s="13">
        <v>28249.88</v>
      </c>
      <c r="O67" s="43">
        <f>SUM(C67:N67)</f>
        <v>346522.95</v>
      </c>
      <c r="P67" s="9">
        <f>'2022 Reforecast'!O89</f>
        <v>352543.55</v>
      </c>
    </row>
    <row r="68" spans="1:16" ht="15" customHeight="1" x14ac:dyDescent="0.25">
      <c r="A68" s="12" t="s">
        <v>329</v>
      </c>
      <c r="B68" s="11" t="s">
        <v>330</v>
      </c>
      <c r="C68" s="13">
        <v>9337.65</v>
      </c>
      <c r="D68" s="13">
        <v>9378.01</v>
      </c>
      <c r="E68" s="13">
        <v>12282.07</v>
      </c>
      <c r="F68" s="13">
        <v>9471.64</v>
      </c>
      <c r="G68" s="13">
        <v>10464.06</v>
      </c>
      <c r="H68" s="13">
        <v>9557.82</v>
      </c>
      <c r="I68" s="13">
        <v>10547.82</v>
      </c>
      <c r="J68" s="13">
        <v>9644.73</v>
      </c>
      <c r="K68" s="13">
        <v>9686.42</v>
      </c>
      <c r="L68" s="13">
        <v>10672.81</v>
      </c>
      <c r="M68" s="13">
        <v>9774.43</v>
      </c>
      <c r="N68" s="13">
        <v>10758.35</v>
      </c>
      <c r="O68" s="43">
        <f>SUM(C68:N68)</f>
        <v>121575.81</v>
      </c>
      <c r="P68" s="9">
        <f>0</f>
        <v>0</v>
      </c>
    </row>
    <row r="69" spans="1:16" ht="15" customHeight="1" x14ac:dyDescent="0.25">
      <c r="A69" s="12"/>
      <c r="B69" s="11" t="s">
        <v>82</v>
      </c>
      <c r="C69" s="65">
        <f t="shared" ref="C69:N69" si="16">SUM(C67:C68)</f>
        <v>39008.230000000003</v>
      </c>
      <c r="D69" s="65">
        <f t="shared" si="16"/>
        <v>39008.230000000003</v>
      </c>
      <c r="E69" s="65">
        <f t="shared" si="16"/>
        <v>39008.229999999996</v>
      </c>
      <c r="F69" s="65">
        <f t="shared" si="16"/>
        <v>39008.229999999996</v>
      </c>
      <c r="G69" s="65">
        <f t="shared" si="16"/>
        <v>39008.229999999996</v>
      </c>
      <c r="H69" s="65">
        <f t="shared" si="16"/>
        <v>39008.229999999996</v>
      </c>
      <c r="I69" s="65">
        <f t="shared" si="16"/>
        <v>39008.229999999996</v>
      </c>
      <c r="J69" s="65">
        <f t="shared" si="16"/>
        <v>39008.229999999996</v>
      </c>
      <c r="K69" s="65">
        <f t="shared" si="16"/>
        <v>39008.230000000003</v>
      </c>
      <c r="L69" s="65">
        <f t="shared" si="16"/>
        <v>39008.229999999996</v>
      </c>
      <c r="M69" s="65">
        <f t="shared" si="16"/>
        <v>39008.229999999996</v>
      </c>
      <c r="N69" s="65">
        <f t="shared" si="16"/>
        <v>39008.230000000003</v>
      </c>
      <c r="O69" s="66">
        <f>SUM(C69:N69)</f>
        <v>468098.75999999983</v>
      </c>
      <c r="P69" s="9">
        <f>SUM(P67:P68)</f>
        <v>352543.55</v>
      </c>
    </row>
    <row r="70" spans="1:16" ht="15" customHeight="1" x14ac:dyDescent="0.25">
      <c r="A70" s="12"/>
      <c r="B70" s="11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43"/>
      <c r="P70" s="9"/>
    </row>
    <row r="71" spans="1:16" ht="15" customHeight="1" thickBot="1" x14ac:dyDescent="0.3">
      <c r="A71" s="4"/>
      <c r="B71" s="3" t="s">
        <v>83</v>
      </c>
      <c r="C71" s="51">
        <f t="shared" ref="C71:O71" si="17">SUM(C60-C65-C69)</f>
        <v>4654.225200000008</v>
      </c>
      <c r="D71" s="51">
        <f t="shared" si="17"/>
        <v>6352.8552000000054</v>
      </c>
      <c r="E71" s="51">
        <f t="shared" si="17"/>
        <v>5144.2252000000153</v>
      </c>
      <c r="F71" s="51">
        <f t="shared" si="17"/>
        <v>71279.619708897386</v>
      </c>
      <c r="G71" s="51">
        <f t="shared" si="17"/>
        <v>5644.2252000000153</v>
      </c>
      <c r="H71" s="51">
        <f t="shared" si="17"/>
        <v>6861.5520000000179</v>
      </c>
      <c r="I71" s="51">
        <f t="shared" si="17"/>
        <v>7258.1868000000104</v>
      </c>
      <c r="J71" s="51">
        <f t="shared" si="17"/>
        <v>708.18680000001041</v>
      </c>
      <c r="K71" s="51">
        <f t="shared" si="17"/>
        <v>6554.3968000000023</v>
      </c>
      <c r="L71" s="51">
        <f t="shared" si="17"/>
        <v>7488.1868000000104</v>
      </c>
      <c r="M71" s="51">
        <f t="shared" si="17"/>
        <v>8094.3968000000095</v>
      </c>
      <c r="N71" s="51">
        <f t="shared" si="17"/>
        <v>6838.1868000000031</v>
      </c>
      <c r="O71" s="52">
        <f t="shared" si="17"/>
        <v>136878.24330889754</v>
      </c>
      <c r="P71" s="53">
        <f>P60-P65-P69</f>
        <v>66535.850000000151</v>
      </c>
    </row>
    <row r="72" spans="1:16" ht="15.75" thickTop="1" x14ac:dyDescent="0.25"/>
  </sheetData>
  <mergeCells count="3">
    <mergeCell ref="A1:O1"/>
    <mergeCell ref="A2:Q2"/>
    <mergeCell ref="A3:Q3"/>
  </mergeCells>
  <phoneticPr fontId="2" type="noConversion"/>
  <pageMargins left="0.7" right="0.7" top="0.7" bottom="0.7" header="0.5" footer="0.5"/>
  <pageSetup paperSize="5" scale="63" fitToHeight="0" orientation="landscape" useFirstPageNumber="1" r:id="rId1"/>
  <headerFooter alignWithMargins="0">
    <oddHeader>&amp;R&amp;B&amp;D &amp;T</oddHeader>
    <oddFooter>&amp;C&amp;B Page &amp;P of &amp;N</oddFooter>
  </headerFooter>
  <rowBreaks count="1" manualBreakCount="1">
    <brk id="38" max="16383" man="1"/>
  </rowBreaks>
  <ignoredErrors>
    <ignoredError sqref="O11 O39 O46:O47 O51 A48:B51 O59 O62 O66 A71:B71 C66:L66 C62:L62 C59:L59 C51:L51 A46:L47 C39:L39 C21:L21 C11:L11 A6:L7 C4:L4 O5:O7 A20:B21 A22:L24 O21:O24 A5:B5 A25:B33 A37 A44:B44 A35:B36 A34 A62:B67 A10:B18 A69:B69 A38:B42 A54:B56 A58:B60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5074-4165-4E26-A4E9-48B971D523EE}">
  <sheetPr>
    <tabColor theme="2"/>
    <pageSetUpPr fitToPage="1"/>
  </sheetPr>
  <dimension ref="A1:O39"/>
  <sheetViews>
    <sheetView workbookViewId="0">
      <selection activeCell="O23" sqref="O23"/>
    </sheetView>
  </sheetViews>
  <sheetFormatPr defaultColWidth="8.85546875" defaultRowHeight="15" x14ac:dyDescent="0.25"/>
  <cols>
    <col min="1" max="1" width="8.85546875" style="1"/>
    <col min="2" max="2" width="30.7109375" style="1" customWidth="1"/>
    <col min="3" max="3" width="10.28515625" style="1" bestFit="1" customWidth="1"/>
    <col min="4" max="4" width="2.7109375" style="1" customWidth="1"/>
    <col min="5" max="5" width="8.85546875" style="1"/>
    <col min="6" max="6" width="10.7109375" style="1" customWidth="1"/>
    <col min="7" max="8" width="8.85546875" style="1"/>
    <col min="9" max="9" width="10.7109375" style="1" customWidth="1"/>
    <col min="10" max="10" width="10.28515625" style="1" customWidth="1"/>
    <col min="11" max="11" width="11" style="1" customWidth="1"/>
    <col min="12" max="12" width="10.28515625" style="1" customWidth="1"/>
    <col min="13" max="14" width="25.42578125" style="1" customWidth="1"/>
    <col min="15" max="15" width="23.85546875" style="1" customWidth="1"/>
    <col min="16" max="16" width="18.42578125" style="1" customWidth="1"/>
    <col min="17" max="16384" width="8.85546875" style="1"/>
  </cols>
  <sheetData>
    <row r="1" spans="1:15" x14ac:dyDescent="0.25">
      <c r="A1" s="189"/>
      <c r="B1" s="189" t="s">
        <v>115</v>
      </c>
      <c r="C1" s="104"/>
      <c r="D1" s="103"/>
      <c r="E1" s="104"/>
      <c r="F1" s="189"/>
      <c r="G1" s="189"/>
      <c r="H1" s="120"/>
      <c r="I1" s="104"/>
      <c r="J1" s="189"/>
      <c r="K1" s="189"/>
      <c r="L1" s="189"/>
    </row>
    <row r="2" spans="1:15" x14ac:dyDescent="0.25">
      <c r="A2" s="189"/>
      <c r="B2" s="189" t="s">
        <v>116</v>
      </c>
      <c r="C2" s="104"/>
      <c r="D2" s="103"/>
      <c r="E2" s="104"/>
      <c r="F2" s="189"/>
      <c r="G2" s="189"/>
      <c r="H2" s="120"/>
      <c r="I2" s="104"/>
      <c r="J2" s="189"/>
      <c r="K2" s="189"/>
      <c r="L2" s="189"/>
    </row>
    <row r="3" spans="1:15" x14ac:dyDescent="0.25">
      <c r="A3" s="189"/>
      <c r="B3" s="189" t="s">
        <v>416</v>
      </c>
      <c r="C3" s="104"/>
      <c r="D3" s="103"/>
      <c r="E3" s="152" t="s">
        <v>85</v>
      </c>
      <c r="F3" s="189"/>
      <c r="G3" s="189"/>
      <c r="H3" s="120"/>
      <c r="I3" s="104"/>
      <c r="J3" s="189"/>
      <c r="K3" s="189"/>
      <c r="L3" s="189"/>
    </row>
    <row r="4" spans="1:15" x14ac:dyDescent="0.25">
      <c r="A4" s="189"/>
      <c r="B4" s="270"/>
      <c r="C4" s="104"/>
      <c r="D4" s="103"/>
      <c r="E4" s="152"/>
      <c r="F4" s="224"/>
      <c r="G4" s="1" t="s">
        <v>162</v>
      </c>
      <c r="H4" s="120"/>
      <c r="I4" s="104"/>
      <c r="J4" s="189"/>
      <c r="K4" s="189"/>
      <c r="L4" s="189"/>
    </row>
    <row r="5" spans="1:15" x14ac:dyDescent="0.25">
      <c r="A5" s="189"/>
      <c r="B5" s="44"/>
      <c r="C5" s="104"/>
      <c r="D5" s="103"/>
      <c r="E5" s="152"/>
      <c r="F5" s="189"/>
      <c r="G5" s="189"/>
      <c r="H5" s="120"/>
      <c r="I5" s="104"/>
      <c r="J5" s="189"/>
      <c r="K5" s="189"/>
      <c r="L5" s="189"/>
    </row>
    <row r="6" spans="1:15" x14ac:dyDescent="0.25">
      <c r="A6" s="189"/>
      <c r="B6" s="189"/>
      <c r="C6" s="104"/>
      <c r="D6" s="103"/>
      <c r="E6" s="152"/>
      <c r="F6" s="189"/>
      <c r="G6" s="189"/>
      <c r="H6" s="120"/>
      <c r="I6" s="104"/>
      <c r="J6" s="189"/>
      <c r="K6" s="189"/>
      <c r="L6" s="189"/>
    </row>
    <row r="7" spans="1:15" ht="43.5" x14ac:dyDescent="0.25">
      <c r="A7" s="192"/>
      <c r="B7" s="192" t="s">
        <v>85</v>
      </c>
      <c r="C7" s="202" t="s">
        <v>151</v>
      </c>
      <c r="D7" s="253" t="s">
        <v>85</v>
      </c>
      <c r="E7" s="202" t="s">
        <v>152</v>
      </c>
      <c r="F7" s="202" t="s">
        <v>169</v>
      </c>
      <c r="G7" s="203" t="s">
        <v>154</v>
      </c>
      <c r="H7" s="203" t="s">
        <v>155</v>
      </c>
      <c r="I7" s="204" t="s">
        <v>156</v>
      </c>
      <c r="J7" s="202" t="s">
        <v>157</v>
      </c>
      <c r="K7" s="202" t="s">
        <v>170</v>
      </c>
      <c r="L7" s="205" t="s">
        <v>159</v>
      </c>
      <c r="M7" s="200" t="s">
        <v>312</v>
      </c>
      <c r="O7" s="271"/>
    </row>
    <row r="8" spans="1:15" ht="30.75" customHeight="1" thickBot="1" x14ac:dyDescent="0.3">
      <c r="B8" s="227" t="s">
        <v>372</v>
      </c>
      <c r="C8" s="228" t="s">
        <v>171</v>
      </c>
      <c r="D8" s="229" t="s">
        <v>85</v>
      </c>
      <c r="E8" s="175">
        <v>4510</v>
      </c>
      <c r="F8" s="175">
        <v>41893</v>
      </c>
      <c r="G8" s="230">
        <f>E8/F8</f>
        <v>0.10765521686200559</v>
      </c>
      <c r="H8" s="231">
        <v>365</v>
      </c>
      <c r="I8" s="228">
        <f t="shared" ref="I8:I14" si="0">+H8/365</f>
        <v>1</v>
      </c>
      <c r="J8" s="300">
        <v>0</v>
      </c>
      <c r="K8" s="300">
        <v>0</v>
      </c>
      <c r="L8" s="301">
        <f t="shared" ref="L8:L14" si="1">+J8-K8</f>
        <v>0</v>
      </c>
      <c r="M8" s="64"/>
      <c r="O8" s="64"/>
    </row>
    <row r="9" spans="1:15" ht="60.75" thickBot="1" x14ac:dyDescent="0.3">
      <c r="A9" s="1" t="s">
        <v>85</v>
      </c>
      <c r="B9" s="193" t="s">
        <v>373</v>
      </c>
      <c r="C9" s="195">
        <f>L20</f>
        <v>33608.813699999999</v>
      </c>
      <c r="D9" s="195"/>
      <c r="E9" s="195">
        <v>2715</v>
      </c>
      <c r="F9" s="195">
        <v>42113</v>
      </c>
      <c r="G9" s="275">
        <f>E9/F9</f>
        <v>6.4469403747061477E-2</v>
      </c>
      <c r="H9" s="196">
        <v>365</v>
      </c>
      <c r="I9" s="194">
        <f t="shared" si="0"/>
        <v>1</v>
      </c>
      <c r="J9" s="276">
        <f>+C9*G9*I9</f>
        <v>2166.740179885071</v>
      </c>
      <c r="K9" s="276">
        <f>135*12</f>
        <v>1620</v>
      </c>
      <c r="L9" s="302">
        <f>+J9-K9</f>
        <v>546.74017988507103</v>
      </c>
      <c r="M9" s="201" t="s">
        <v>380</v>
      </c>
      <c r="N9" s="201"/>
      <c r="O9" s="44"/>
    </row>
    <row r="10" spans="1:15" ht="60.75" thickBot="1" x14ac:dyDescent="0.3">
      <c r="B10" s="193" t="s">
        <v>393</v>
      </c>
      <c r="C10" s="195">
        <f>L20</f>
        <v>33608.813699999999</v>
      </c>
      <c r="D10" s="195"/>
      <c r="E10" s="195">
        <v>31385</v>
      </c>
      <c r="F10" s="195">
        <v>42113</v>
      </c>
      <c r="G10" s="275">
        <f>E10/F10</f>
        <v>0.74525680906133496</v>
      </c>
      <c r="H10" s="196">
        <v>365</v>
      </c>
      <c r="I10" s="194">
        <f t="shared" si="0"/>
        <v>1</v>
      </c>
      <c r="J10" s="276">
        <f t="shared" ref="J10:J14" si="2">+C10*G10*I10</f>
        <v>25047.197254398878</v>
      </c>
      <c r="K10" s="276">
        <f>1555*12</f>
        <v>18660</v>
      </c>
      <c r="L10" s="302">
        <f t="shared" si="1"/>
        <v>6387.1972543988777</v>
      </c>
      <c r="M10" s="201" t="s">
        <v>383</v>
      </c>
      <c r="N10" s="201"/>
      <c r="O10" s="272"/>
    </row>
    <row r="11" spans="1:15" ht="45.75" thickBot="1" x14ac:dyDescent="0.3">
      <c r="B11" s="233" t="s">
        <v>394</v>
      </c>
      <c r="C11" s="195">
        <f>L19</f>
        <v>43647.81</v>
      </c>
      <c r="D11" s="235" t="s">
        <v>85</v>
      </c>
      <c r="E11" s="235">
        <v>5160</v>
      </c>
      <c r="F11" s="235">
        <v>53973</v>
      </c>
      <c r="G11" s="289">
        <f>E11/F11</f>
        <v>9.560335723417264E-2</v>
      </c>
      <c r="H11" s="196">
        <v>365</v>
      </c>
      <c r="I11" s="234">
        <f t="shared" si="0"/>
        <v>1</v>
      </c>
      <c r="J11" s="277">
        <f>+C11*G11*I11</f>
        <v>4172.8771719192928</v>
      </c>
      <c r="K11" s="277">
        <v>0</v>
      </c>
      <c r="L11" s="302">
        <f t="shared" si="1"/>
        <v>4172.8771719192928</v>
      </c>
      <c r="M11" s="201" t="s">
        <v>385</v>
      </c>
      <c r="N11" s="201"/>
      <c r="O11" s="44"/>
    </row>
    <row r="12" spans="1:15" ht="45.75" thickBot="1" x14ac:dyDescent="0.3">
      <c r="B12" s="193" t="s">
        <v>395</v>
      </c>
      <c r="C12" s="195">
        <f>L19</f>
        <v>43647.81</v>
      </c>
      <c r="D12" s="195"/>
      <c r="E12" s="195">
        <v>5300</v>
      </c>
      <c r="F12" s="195">
        <v>53973</v>
      </c>
      <c r="G12" s="275">
        <f>E12/F12</f>
        <v>9.8197246771533922E-2</v>
      </c>
      <c r="H12" s="196">
        <v>365</v>
      </c>
      <c r="I12" s="194">
        <f t="shared" si="0"/>
        <v>1</v>
      </c>
      <c r="J12" s="276">
        <f t="shared" si="2"/>
        <v>4286.0947696070261</v>
      </c>
      <c r="K12" s="276">
        <f>263*12</f>
        <v>3156</v>
      </c>
      <c r="L12" s="302">
        <f t="shared" si="1"/>
        <v>1130.0947696070261</v>
      </c>
      <c r="M12" s="201" t="s">
        <v>388</v>
      </c>
      <c r="N12" s="201"/>
      <c r="O12" s="44"/>
    </row>
    <row r="13" spans="1:15" ht="45.75" thickBot="1" x14ac:dyDescent="0.3">
      <c r="B13" s="233" t="s">
        <v>396</v>
      </c>
      <c r="C13" s="235">
        <f>L21</f>
        <v>1614.9689699999999</v>
      </c>
      <c r="D13" s="235" t="s">
        <v>85</v>
      </c>
      <c r="E13" s="235">
        <v>2000</v>
      </c>
      <c r="F13" s="195">
        <f>E16</f>
        <v>54573</v>
      </c>
      <c r="G13" s="288">
        <v>1</v>
      </c>
      <c r="H13" s="196">
        <v>365</v>
      </c>
      <c r="I13" s="234">
        <f t="shared" si="0"/>
        <v>1</v>
      </c>
      <c r="J13" s="277">
        <f t="shared" si="2"/>
        <v>1614.9689699999999</v>
      </c>
      <c r="K13" s="277">
        <v>0</v>
      </c>
      <c r="L13" s="302">
        <f t="shared" si="1"/>
        <v>1614.9689699999999</v>
      </c>
      <c r="M13" s="201" t="s">
        <v>391</v>
      </c>
      <c r="N13" s="201"/>
      <c r="O13" s="273"/>
    </row>
    <row r="14" spans="1:15" x14ac:dyDescent="0.25">
      <c r="B14" s="236" t="s">
        <v>161</v>
      </c>
      <c r="C14" s="237">
        <v>0</v>
      </c>
      <c r="D14" s="238" t="s">
        <v>85</v>
      </c>
      <c r="E14" s="239">
        <v>3503</v>
      </c>
      <c r="F14" s="239">
        <v>42113</v>
      </c>
      <c r="G14" s="305">
        <f>E14/F14</f>
        <v>8.3180965497589812E-2</v>
      </c>
      <c r="H14" s="240">
        <v>365</v>
      </c>
      <c r="I14" s="241">
        <f t="shared" si="0"/>
        <v>1</v>
      </c>
      <c r="J14" s="278">
        <f t="shared" si="2"/>
        <v>0</v>
      </c>
      <c r="K14" s="278">
        <v>0</v>
      </c>
      <c r="L14" s="303">
        <f t="shared" si="1"/>
        <v>0</v>
      </c>
    </row>
    <row r="15" spans="1:15" x14ac:dyDescent="0.25">
      <c r="B15" s="189"/>
      <c r="C15" s="111"/>
      <c r="D15" s="152"/>
      <c r="E15" s="152"/>
      <c r="F15" s="152"/>
      <c r="G15" s="197"/>
      <c r="I15" s="111"/>
      <c r="J15" s="243"/>
      <c r="K15" s="243"/>
      <c r="L15" s="304"/>
    </row>
    <row r="16" spans="1:15" ht="15.75" thickBot="1" x14ac:dyDescent="0.3">
      <c r="B16" s="214" t="s">
        <v>1</v>
      </c>
      <c r="C16" s="179"/>
      <c r="D16" s="179"/>
      <c r="E16" s="179">
        <f>SUM(E8:E14)</f>
        <v>54573</v>
      </c>
      <c r="F16" s="179"/>
      <c r="G16" s="217"/>
      <c r="H16" s="214"/>
      <c r="I16" s="214"/>
      <c r="J16" s="287">
        <f>SUM(J8:J14)</f>
        <v>37287.87834581027</v>
      </c>
      <c r="K16" s="287">
        <f>SUM(K8:K14)</f>
        <v>23436</v>
      </c>
      <c r="L16" s="287">
        <f>SUM(L8:L14)</f>
        <v>13851.878345810268</v>
      </c>
    </row>
    <row r="17" spans="1:14" ht="16.5" thickTop="1" thickBot="1" x14ac:dyDescent="0.3">
      <c r="B17" s="189"/>
      <c r="C17" s="152"/>
      <c r="D17" s="152"/>
      <c r="E17" s="152"/>
      <c r="F17" s="152"/>
      <c r="G17" s="274"/>
      <c r="J17" s="245"/>
      <c r="K17" s="245"/>
      <c r="L17" s="90"/>
    </row>
    <row r="18" spans="1:14" x14ac:dyDescent="0.25">
      <c r="B18" s="189"/>
      <c r="C18" s="152"/>
      <c r="D18" s="152"/>
      <c r="E18" s="152"/>
      <c r="F18" s="152"/>
      <c r="G18" s="274"/>
      <c r="I18" s="294" t="s">
        <v>403</v>
      </c>
      <c r="J18" s="295"/>
      <c r="K18" s="296"/>
      <c r="L18" s="290"/>
    </row>
    <row r="19" spans="1:14" x14ac:dyDescent="0.25">
      <c r="B19" s="189"/>
      <c r="C19" s="152"/>
      <c r="D19" s="152"/>
      <c r="E19" s="152"/>
      <c r="F19" s="152"/>
      <c r="G19" s="274"/>
      <c r="I19" s="291" t="s">
        <v>404</v>
      </c>
      <c r="K19" s="245"/>
      <c r="L19" s="292">
        <v>43647.81</v>
      </c>
    </row>
    <row r="20" spans="1:14" x14ac:dyDescent="0.25">
      <c r="B20" s="189"/>
      <c r="C20" s="152"/>
      <c r="D20" s="152"/>
      <c r="E20" s="152"/>
      <c r="F20" s="152"/>
      <c r="G20" s="274"/>
      <c r="I20" s="248" t="s">
        <v>405</v>
      </c>
      <c r="J20" s="245"/>
      <c r="K20" s="245"/>
      <c r="L20" s="292">
        <f>L19*0.77</f>
        <v>33608.813699999999</v>
      </c>
    </row>
    <row r="21" spans="1:14" ht="15.75" thickBot="1" x14ac:dyDescent="0.3">
      <c r="B21" s="189"/>
      <c r="C21" s="152"/>
      <c r="D21" s="152"/>
      <c r="E21" s="152"/>
      <c r="F21" s="152"/>
      <c r="G21" s="274"/>
      <c r="I21" s="251" t="s">
        <v>406</v>
      </c>
      <c r="J21" s="232"/>
      <c r="K21" s="232"/>
      <c r="L21" s="293">
        <f>L19*0.037</f>
        <v>1614.9689699999999</v>
      </c>
    </row>
    <row r="22" spans="1:14" x14ac:dyDescent="0.25">
      <c r="B22" s="189"/>
      <c r="C22" s="152"/>
      <c r="D22" s="152"/>
      <c r="E22" s="152"/>
      <c r="F22" s="152"/>
      <c r="G22" s="274"/>
      <c r="J22" s="245"/>
      <c r="K22" s="245"/>
      <c r="L22" s="90"/>
    </row>
    <row r="23" spans="1:14" x14ac:dyDescent="0.25">
      <c r="B23" s="189"/>
      <c r="C23" s="152"/>
      <c r="D23" s="152"/>
      <c r="E23" s="152"/>
      <c r="F23" s="152"/>
      <c r="G23" s="274"/>
      <c r="J23" s="245"/>
      <c r="K23" s="245"/>
      <c r="L23" s="90"/>
    </row>
    <row r="24" spans="1:14" x14ac:dyDescent="0.25">
      <c r="B24" s="189"/>
      <c r="C24" s="152"/>
      <c r="D24" s="152"/>
      <c r="E24" s="152"/>
      <c r="F24" s="152"/>
      <c r="G24" s="274"/>
      <c r="J24" s="245"/>
      <c r="K24" s="245"/>
      <c r="L24" s="90"/>
    </row>
    <row r="25" spans="1:14" x14ac:dyDescent="0.25">
      <c r="B25" s="189"/>
      <c r="C25" s="152"/>
      <c r="D25" s="152"/>
      <c r="E25" s="152"/>
      <c r="F25" s="152"/>
      <c r="G25" s="274"/>
      <c r="J25" s="245"/>
      <c r="K25" s="245"/>
      <c r="L25" s="90"/>
    </row>
    <row r="26" spans="1:14" x14ac:dyDescent="0.25">
      <c r="B26" s="189"/>
      <c r="C26" s="152"/>
      <c r="D26" s="152"/>
      <c r="E26" s="152"/>
      <c r="F26" s="152"/>
      <c r="G26" s="274"/>
      <c r="J26" s="245"/>
      <c r="K26" s="245"/>
      <c r="L26" s="90"/>
    </row>
    <row r="27" spans="1:14" x14ac:dyDescent="0.25">
      <c r="A27" s="44"/>
      <c r="B27" s="189"/>
      <c r="C27" s="152"/>
      <c r="D27" s="152"/>
      <c r="E27" s="152"/>
      <c r="F27" s="152"/>
      <c r="G27" s="274"/>
      <c r="J27" s="245"/>
      <c r="K27" s="245"/>
      <c r="L27" s="90"/>
    </row>
    <row r="28" spans="1:14" x14ac:dyDescent="0.25">
      <c r="B28" s="189" t="s">
        <v>326</v>
      </c>
      <c r="L28" s="90"/>
    </row>
    <row r="29" spans="1:14" x14ac:dyDescent="0.25">
      <c r="B29" s="73" t="s">
        <v>321</v>
      </c>
      <c r="C29" s="73"/>
      <c r="D29" s="73"/>
      <c r="E29" s="73"/>
      <c r="F29" s="73"/>
      <c r="I29" s="44"/>
      <c r="M29" s="44"/>
      <c r="N29" s="44"/>
    </row>
    <row r="30" spans="1:14" x14ac:dyDescent="0.25">
      <c r="A30" s="244" t="s">
        <v>85</v>
      </c>
      <c r="B30" s="1" t="s">
        <v>85</v>
      </c>
      <c r="C30" s="152"/>
      <c r="D30" s="152"/>
      <c r="E30" s="152"/>
    </row>
    <row r="31" spans="1:14" x14ac:dyDescent="0.25">
      <c r="B31" s="1" t="s">
        <v>322</v>
      </c>
      <c r="C31" s="152"/>
      <c r="D31" s="152"/>
      <c r="E31" s="152"/>
      <c r="M31" s="44"/>
      <c r="N31" s="44"/>
    </row>
    <row r="32" spans="1:14" x14ac:dyDescent="0.25">
      <c r="A32" s="244" t="s">
        <v>85</v>
      </c>
    </row>
    <row r="33" spans="1:15" x14ac:dyDescent="0.25">
      <c r="A33" s="73" t="s">
        <v>323</v>
      </c>
      <c r="O33" s="44"/>
    </row>
    <row r="35" spans="1:15" x14ac:dyDescent="0.25">
      <c r="A35" s="1" t="s">
        <v>324</v>
      </c>
      <c r="B35" s="152"/>
      <c r="C35" s="152"/>
      <c r="D35" s="152"/>
      <c r="E35" s="152"/>
      <c r="H35" s="111"/>
      <c r="I35" s="152"/>
      <c r="M35" s="44"/>
      <c r="N35" s="44"/>
    </row>
    <row r="37" spans="1:15" x14ac:dyDescent="0.25">
      <c r="B37" s="1" t="s">
        <v>325</v>
      </c>
    </row>
    <row r="39" spans="1:15" x14ac:dyDescent="0.25">
      <c r="F39" s="327"/>
      <c r="G39" s="327"/>
      <c r="H39" s="327"/>
      <c r="I39" s="327"/>
      <c r="J39" s="327"/>
      <c r="K39" s="327"/>
      <c r="L39" s="327"/>
    </row>
  </sheetData>
  <mergeCells count="1">
    <mergeCell ref="F39:L39"/>
  </mergeCells>
  <pageMargins left="0.7" right="0.7" top="0.75" bottom="0.75" header="0.3" footer="0.3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0D1D-8A3B-4606-91DA-2CBF4E3C8531}">
  <sheetPr>
    <pageSetUpPr fitToPage="1"/>
  </sheetPr>
  <dimension ref="A1:O96"/>
  <sheetViews>
    <sheetView workbookViewId="0">
      <selection activeCell="O49" sqref="O49"/>
    </sheetView>
  </sheetViews>
  <sheetFormatPr defaultColWidth="9.140625" defaultRowHeight="15" x14ac:dyDescent="0.25"/>
  <cols>
    <col min="1" max="1" width="15.7109375" style="1" customWidth="1"/>
    <col min="2" max="2" width="37.140625" style="1" customWidth="1"/>
    <col min="3" max="15" width="12.7109375" style="1" customWidth="1"/>
    <col min="16" max="16384" width="9.140625" style="1"/>
  </cols>
  <sheetData>
    <row r="1" spans="1:15" ht="15" customHeight="1" x14ac:dyDescent="0.25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ht="15.75" customHeight="1" x14ac:dyDescent="0.25">
      <c r="A2" s="317" t="s">
        <v>351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</row>
    <row r="3" spans="1:15" ht="15" customHeight="1" x14ac:dyDescent="0.25">
      <c r="A3" s="31"/>
      <c r="B3" s="3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0"/>
      <c r="O3" s="30" t="s">
        <v>1</v>
      </c>
    </row>
    <row r="4" spans="1:15" ht="15" customHeight="1" x14ac:dyDescent="0.25">
      <c r="A4" s="28"/>
      <c r="B4" s="29"/>
      <c r="C4" s="28" t="s">
        <v>194</v>
      </c>
      <c r="D4" s="28" t="s">
        <v>194</v>
      </c>
      <c r="E4" s="28" t="s">
        <v>194</v>
      </c>
      <c r="F4" s="28" t="s">
        <v>194</v>
      </c>
      <c r="G4" s="28" t="s">
        <v>194</v>
      </c>
      <c r="H4" s="28" t="s">
        <v>194</v>
      </c>
      <c r="I4" s="28" t="s">
        <v>194</v>
      </c>
      <c r="J4" s="28" t="s">
        <v>194</v>
      </c>
      <c r="K4" s="28" t="s">
        <v>194</v>
      </c>
      <c r="L4" s="28" t="s">
        <v>194</v>
      </c>
      <c r="M4" s="28" t="s">
        <v>194</v>
      </c>
      <c r="N4" s="311" t="s">
        <v>294</v>
      </c>
      <c r="O4" s="27" t="s">
        <v>195</v>
      </c>
    </row>
    <row r="5" spans="1:15" ht="15" customHeight="1" x14ac:dyDescent="0.25">
      <c r="A5" s="28"/>
      <c r="B5" s="29"/>
      <c r="C5" s="28" t="s">
        <v>350</v>
      </c>
      <c r="D5" s="28" t="s">
        <v>349</v>
      </c>
      <c r="E5" s="28" t="s">
        <v>348</v>
      </c>
      <c r="F5" s="28" t="s">
        <v>347</v>
      </c>
      <c r="G5" s="28" t="s">
        <v>346</v>
      </c>
      <c r="H5" s="28" t="s">
        <v>345</v>
      </c>
      <c r="I5" s="28" t="s">
        <v>344</v>
      </c>
      <c r="J5" s="28" t="s">
        <v>343</v>
      </c>
      <c r="K5" s="28" t="s">
        <v>342</v>
      </c>
      <c r="L5" s="28" t="s">
        <v>341</v>
      </c>
      <c r="M5" s="28" t="s">
        <v>340</v>
      </c>
      <c r="N5" s="311" t="s">
        <v>339</v>
      </c>
      <c r="O5" s="27" t="s">
        <v>294</v>
      </c>
    </row>
    <row r="6" spans="1:15" ht="15" customHeight="1" x14ac:dyDescent="0.25">
      <c r="A6" s="26" t="s">
        <v>196</v>
      </c>
      <c r="B6" s="25" t="s">
        <v>197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3"/>
    </row>
    <row r="7" spans="1:15" ht="15" customHeight="1" x14ac:dyDescent="0.25">
      <c r="A7" s="7"/>
      <c r="B7" s="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6"/>
    </row>
    <row r="8" spans="1:15" ht="15" customHeight="1" x14ac:dyDescent="0.25">
      <c r="A8" s="4" t="s">
        <v>198</v>
      </c>
      <c r="B8" s="3" t="s">
        <v>199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4"/>
    </row>
    <row r="9" spans="1:15" ht="15" customHeight="1" x14ac:dyDescent="0.25">
      <c r="A9" s="12" t="s">
        <v>4</v>
      </c>
      <c r="B9" s="11" t="s">
        <v>200</v>
      </c>
      <c r="C9" s="13">
        <v>70067.520000000004</v>
      </c>
      <c r="D9" s="13">
        <v>70067.520000000004</v>
      </c>
      <c r="E9" s="13">
        <v>70067.520000000004</v>
      </c>
      <c r="F9" s="13">
        <v>70067.520000000004</v>
      </c>
      <c r="G9" s="13">
        <v>70067.520000000004</v>
      </c>
      <c r="H9" s="13">
        <v>70067.520000000004</v>
      </c>
      <c r="I9" s="13">
        <v>78459.19</v>
      </c>
      <c r="J9" s="13">
        <v>75549.149999999994</v>
      </c>
      <c r="K9" s="13">
        <v>62601.27</v>
      </c>
      <c r="L9" s="13">
        <v>73056.31</v>
      </c>
      <c r="M9" s="13">
        <v>70067.520000000004</v>
      </c>
      <c r="N9" s="13">
        <v>70067.520000000004</v>
      </c>
      <c r="O9" s="9">
        <f>SUM(C9:N9)</f>
        <v>850206.08000000007</v>
      </c>
    </row>
    <row r="10" spans="1:15" ht="15" customHeight="1" x14ac:dyDescent="0.25">
      <c r="A10" s="12" t="s">
        <v>201</v>
      </c>
      <c r="B10" s="11" t="s">
        <v>202</v>
      </c>
      <c r="C10" s="10">
        <v>-53163.73</v>
      </c>
      <c r="D10" s="10">
        <v>9960.67</v>
      </c>
      <c r="E10" s="10">
        <v>-3189.71</v>
      </c>
      <c r="F10" s="10">
        <v>9564.48</v>
      </c>
      <c r="G10" s="10">
        <v>-9564.43</v>
      </c>
      <c r="H10" s="10">
        <v>19652.18</v>
      </c>
      <c r="I10" s="10">
        <v>-19525.099999999999</v>
      </c>
      <c r="J10" s="10">
        <v>1709.42</v>
      </c>
      <c r="K10" s="10">
        <v>7727.88</v>
      </c>
      <c r="L10" s="10">
        <v>-9553.5300000000007</v>
      </c>
      <c r="M10" s="10">
        <v>-10.9</v>
      </c>
      <c r="N10" s="10">
        <v>0</v>
      </c>
      <c r="O10" s="9">
        <f>SUM(C10:N10)</f>
        <v>-46392.770000000011</v>
      </c>
    </row>
    <row r="11" spans="1:15" ht="15" customHeight="1" x14ac:dyDescent="0.25">
      <c r="A11" s="4" t="s">
        <v>203</v>
      </c>
      <c r="B11" s="3" t="s">
        <v>204</v>
      </c>
      <c r="C11" s="8">
        <f t="shared" ref="C11:O11" si="0">SUM(C9:C10)</f>
        <v>16903.79</v>
      </c>
      <c r="D11" s="8">
        <f t="shared" si="0"/>
        <v>80028.19</v>
      </c>
      <c r="E11" s="8">
        <f t="shared" si="0"/>
        <v>66877.81</v>
      </c>
      <c r="F11" s="8">
        <f t="shared" si="0"/>
        <v>79632</v>
      </c>
      <c r="G11" s="8">
        <f t="shared" si="0"/>
        <v>60503.090000000004</v>
      </c>
      <c r="H11" s="8">
        <f t="shared" si="0"/>
        <v>89719.700000000012</v>
      </c>
      <c r="I11" s="8">
        <f t="shared" si="0"/>
        <v>58934.090000000004</v>
      </c>
      <c r="J11" s="8">
        <f t="shared" si="0"/>
        <v>77258.569999999992</v>
      </c>
      <c r="K11" s="8">
        <f t="shared" si="0"/>
        <v>70329.149999999994</v>
      </c>
      <c r="L11" s="8">
        <f t="shared" si="0"/>
        <v>63502.78</v>
      </c>
      <c r="M11" s="8">
        <f t="shared" si="0"/>
        <v>70056.62000000001</v>
      </c>
      <c r="N11" s="8">
        <f t="shared" si="0"/>
        <v>70067.520000000004</v>
      </c>
      <c r="O11" s="33">
        <f t="shared" si="0"/>
        <v>803813.31</v>
      </c>
    </row>
    <row r="12" spans="1:15" ht="15" customHeight="1" x14ac:dyDescent="0.25">
      <c r="A12" s="7"/>
      <c r="B12" s="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6"/>
    </row>
    <row r="13" spans="1:15" ht="15" customHeight="1" x14ac:dyDescent="0.25">
      <c r="A13" s="4" t="s">
        <v>205</v>
      </c>
      <c r="B13" s="3" t="s">
        <v>206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4"/>
    </row>
    <row r="14" spans="1:15" ht="15" customHeight="1" x14ac:dyDescent="0.25">
      <c r="A14" s="12" t="s">
        <v>8</v>
      </c>
      <c r="B14" s="11" t="s">
        <v>207</v>
      </c>
      <c r="C14" s="13">
        <v>5857</v>
      </c>
      <c r="D14" s="13">
        <v>5857</v>
      </c>
      <c r="E14" s="13">
        <v>5857</v>
      </c>
      <c r="F14" s="13">
        <v>5857</v>
      </c>
      <c r="G14" s="13">
        <v>5856.64</v>
      </c>
      <c r="H14" s="13">
        <v>5857.05</v>
      </c>
      <c r="I14" s="13">
        <v>6572</v>
      </c>
      <c r="J14" s="13">
        <v>7018</v>
      </c>
      <c r="K14" s="13">
        <v>5474</v>
      </c>
      <c r="L14" s="13">
        <v>5857</v>
      </c>
      <c r="M14" s="13">
        <v>5857</v>
      </c>
      <c r="N14" s="13">
        <v>5857</v>
      </c>
      <c r="O14" s="9">
        <f t="shared" ref="O14:O19" si="1">SUM(C14:N14)</f>
        <v>71776.69</v>
      </c>
    </row>
    <row r="15" spans="1:15" ht="15" customHeight="1" x14ac:dyDescent="0.25">
      <c r="A15" s="12" t="s">
        <v>14</v>
      </c>
      <c r="B15" s="11" t="s">
        <v>208</v>
      </c>
      <c r="C15" s="13">
        <v>0</v>
      </c>
      <c r="D15" s="13">
        <v>0</v>
      </c>
      <c r="E15" s="13">
        <v>0</v>
      </c>
      <c r="F15" s="13">
        <v>688.84</v>
      </c>
      <c r="G15" s="13">
        <v>0</v>
      </c>
      <c r="H15" s="13">
        <v>768.07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9">
        <f t="shared" si="1"/>
        <v>1456.91</v>
      </c>
    </row>
    <row r="16" spans="1:15" ht="15" customHeight="1" x14ac:dyDescent="0.25">
      <c r="A16" s="12" t="s">
        <v>10</v>
      </c>
      <c r="B16" s="11" t="s">
        <v>209</v>
      </c>
      <c r="C16" s="13">
        <v>4514.1000000000004</v>
      </c>
      <c r="D16" s="13">
        <v>4514.1000000000004</v>
      </c>
      <c r="E16" s="13">
        <v>4514.1000000000004</v>
      </c>
      <c r="F16" s="13">
        <v>4514.1000000000004</v>
      </c>
      <c r="G16" s="13">
        <v>4514.1000000000004</v>
      </c>
      <c r="H16" s="13">
        <v>4514.1000000000004</v>
      </c>
      <c r="I16" s="13">
        <v>5105.1000000000004</v>
      </c>
      <c r="J16" s="13">
        <v>4190.1000000000004</v>
      </c>
      <c r="K16" s="13">
        <v>4247.1000000000004</v>
      </c>
      <c r="L16" s="13">
        <v>4514.1000000000004</v>
      </c>
      <c r="M16" s="13">
        <v>4514.1000000000004</v>
      </c>
      <c r="N16" s="13">
        <v>4514.1000000000004</v>
      </c>
      <c r="O16" s="9">
        <f t="shared" si="1"/>
        <v>54169.19999999999</v>
      </c>
    </row>
    <row r="17" spans="1:15" ht="15" customHeight="1" x14ac:dyDescent="0.25">
      <c r="A17" s="12" t="s">
        <v>16</v>
      </c>
      <c r="B17" s="11" t="s">
        <v>210</v>
      </c>
      <c r="C17" s="13">
        <v>0</v>
      </c>
      <c r="D17" s="13">
        <v>0</v>
      </c>
      <c r="E17" s="13">
        <v>0</v>
      </c>
      <c r="F17" s="13">
        <v>12399.66</v>
      </c>
      <c r="G17" s="13">
        <v>0</v>
      </c>
      <c r="H17" s="13">
        <v>13117.12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9">
        <f t="shared" si="1"/>
        <v>25516.78</v>
      </c>
    </row>
    <row r="18" spans="1:15" ht="15" customHeight="1" x14ac:dyDescent="0.25">
      <c r="A18" s="12" t="s">
        <v>12</v>
      </c>
      <c r="B18" s="11" t="s">
        <v>211</v>
      </c>
      <c r="C18" s="13">
        <v>1953</v>
      </c>
      <c r="D18" s="13">
        <v>1953</v>
      </c>
      <c r="E18" s="13">
        <v>1953</v>
      </c>
      <c r="F18" s="13">
        <v>1953</v>
      </c>
      <c r="G18" s="13">
        <v>1953</v>
      </c>
      <c r="H18" s="13">
        <v>1953</v>
      </c>
      <c r="I18" s="13">
        <v>2216</v>
      </c>
      <c r="J18" s="13">
        <v>1825</v>
      </c>
      <c r="K18" s="13">
        <v>1818</v>
      </c>
      <c r="L18" s="13">
        <v>1953</v>
      </c>
      <c r="M18" s="13">
        <v>1953</v>
      </c>
      <c r="N18" s="13">
        <v>1953</v>
      </c>
      <c r="O18" s="9">
        <f t="shared" si="1"/>
        <v>23436</v>
      </c>
    </row>
    <row r="19" spans="1:15" ht="15" customHeight="1" x14ac:dyDescent="0.25">
      <c r="A19" s="12" t="s">
        <v>18</v>
      </c>
      <c r="B19" s="11" t="s">
        <v>212</v>
      </c>
      <c r="C19" s="10">
        <v>0</v>
      </c>
      <c r="D19" s="10">
        <v>0</v>
      </c>
      <c r="E19" s="10">
        <v>0</v>
      </c>
      <c r="F19" s="10">
        <v>4263.67</v>
      </c>
      <c r="G19" s="10">
        <v>0.01</v>
      </c>
      <c r="H19" s="10">
        <v>7088.62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9">
        <f t="shared" si="1"/>
        <v>11352.3</v>
      </c>
    </row>
    <row r="20" spans="1:15" ht="15" customHeight="1" x14ac:dyDescent="0.25">
      <c r="A20" s="4" t="s">
        <v>213</v>
      </c>
      <c r="B20" s="3" t="s">
        <v>214</v>
      </c>
      <c r="C20" s="8">
        <f t="shared" ref="C20:O20" si="2">SUM(C14:C19)</f>
        <v>12324.1</v>
      </c>
      <c r="D20" s="8">
        <f t="shared" si="2"/>
        <v>12324.1</v>
      </c>
      <c r="E20" s="8">
        <f t="shared" si="2"/>
        <v>12324.1</v>
      </c>
      <c r="F20" s="8">
        <f t="shared" si="2"/>
        <v>29676.269999999997</v>
      </c>
      <c r="G20" s="8">
        <f t="shared" si="2"/>
        <v>12323.750000000002</v>
      </c>
      <c r="H20" s="8">
        <f t="shared" si="2"/>
        <v>33297.960000000006</v>
      </c>
      <c r="I20" s="8">
        <f t="shared" si="2"/>
        <v>13893.1</v>
      </c>
      <c r="J20" s="8">
        <f t="shared" si="2"/>
        <v>13033.1</v>
      </c>
      <c r="K20" s="8">
        <f t="shared" si="2"/>
        <v>11539.1</v>
      </c>
      <c r="L20" s="8">
        <f t="shared" si="2"/>
        <v>12324.1</v>
      </c>
      <c r="M20" s="8">
        <f t="shared" si="2"/>
        <v>12324.1</v>
      </c>
      <c r="N20" s="8">
        <f t="shared" si="2"/>
        <v>12324.1</v>
      </c>
      <c r="O20" s="33">
        <f t="shared" si="2"/>
        <v>187707.87999999998</v>
      </c>
    </row>
    <row r="21" spans="1:15" ht="15" customHeight="1" x14ac:dyDescent="0.25">
      <c r="A21" s="7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/>
    </row>
    <row r="22" spans="1:15" ht="15" customHeight="1" x14ac:dyDescent="0.25">
      <c r="A22" s="4" t="s">
        <v>215</v>
      </c>
      <c r="B22" s="3" t="s">
        <v>216</v>
      </c>
      <c r="C22" s="8">
        <f t="shared" ref="C22:O22" si="3">C20+C11</f>
        <v>29227.89</v>
      </c>
      <c r="D22" s="8">
        <f t="shared" si="3"/>
        <v>92352.290000000008</v>
      </c>
      <c r="E22" s="8">
        <f t="shared" si="3"/>
        <v>79201.91</v>
      </c>
      <c r="F22" s="8">
        <f t="shared" si="3"/>
        <v>109308.26999999999</v>
      </c>
      <c r="G22" s="8">
        <f t="shared" si="3"/>
        <v>72826.840000000011</v>
      </c>
      <c r="H22" s="8">
        <f t="shared" si="3"/>
        <v>123017.66000000002</v>
      </c>
      <c r="I22" s="8">
        <f t="shared" si="3"/>
        <v>72827.19</v>
      </c>
      <c r="J22" s="8">
        <f t="shared" si="3"/>
        <v>90291.67</v>
      </c>
      <c r="K22" s="8">
        <f t="shared" si="3"/>
        <v>81868.25</v>
      </c>
      <c r="L22" s="8">
        <f t="shared" si="3"/>
        <v>75826.880000000005</v>
      </c>
      <c r="M22" s="8">
        <f t="shared" si="3"/>
        <v>82380.720000000016</v>
      </c>
      <c r="N22" s="8">
        <f t="shared" si="3"/>
        <v>82391.62000000001</v>
      </c>
      <c r="O22" s="33">
        <f t="shared" si="3"/>
        <v>991521.19000000006</v>
      </c>
    </row>
    <row r="23" spans="1:15" ht="1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22"/>
    </row>
    <row r="24" spans="1:15" ht="15" customHeight="1" x14ac:dyDescent="0.25">
      <c r="A24" s="4" t="s">
        <v>217</v>
      </c>
      <c r="B24" s="3" t="s">
        <v>218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0"/>
    </row>
    <row r="25" spans="1:15" ht="1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2"/>
    </row>
    <row r="26" spans="1:15" ht="15" customHeight="1" x14ac:dyDescent="0.25">
      <c r="A26" s="4" t="s">
        <v>219</v>
      </c>
      <c r="B26" s="3" t="s">
        <v>220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0"/>
    </row>
    <row r="27" spans="1:15" ht="1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2"/>
    </row>
    <row r="28" spans="1:15" ht="15" customHeight="1" x14ac:dyDescent="0.25">
      <c r="A28" s="4" t="s">
        <v>221</v>
      </c>
      <c r="B28" s="3" t="s">
        <v>222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0"/>
    </row>
    <row r="29" spans="1:15" ht="15" customHeight="1" x14ac:dyDescent="0.25">
      <c r="A29" s="12" t="s">
        <v>25</v>
      </c>
      <c r="B29" s="11" t="s">
        <v>223</v>
      </c>
      <c r="C29" s="13">
        <v>355.13</v>
      </c>
      <c r="D29" s="13">
        <v>324.23</v>
      </c>
      <c r="E29" s="13">
        <v>359.37</v>
      </c>
      <c r="F29" s="13">
        <v>359.47</v>
      </c>
      <c r="G29" s="13">
        <v>336.4</v>
      </c>
      <c r="H29" s="13">
        <v>376.55</v>
      </c>
      <c r="I29" s="13">
        <v>387.63</v>
      </c>
      <c r="J29" s="13">
        <v>373.98</v>
      </c>
      <c r="K29" s="13">
        <v>410.56</v>
      </c>
      <c r="L29" s="13">
        <v>402</v>
      </c>
      <c r="M29" s="13">
        <v>367</v>
      </c>
      <c r="N29" s="13">
        <v>330</v>
      </c>
      <c r="O29" s="9">
        <f t="shared" ref="O29:O42" si="4">SUM(C29:N29)</f>
        <v>4382.32</v>
      </c>
    </row>
    <row r="30" spans="1:15" ht="15" customHeight="1" x14ac:dyDescent="0.25">
      <c r="A30" s="12" t="s">
        <v>27</v>
      </c>
      <c r="B30" s="11" t="s">
        <v>224</v>
      </c>
      <c r="C30" s="13">
        <v>279.5</v>
      </c>
      <c r="D30" s="13">
        <v>287.64</v>
      </c>
      <c r="E30" s="13">
        <v>279.5</v>
      </c>
      <c r="F30" s="13">
        <v>287.64</v>
      </c>
      <c r="G30" s="13">
        <v>279.5</v>
      </c>
      <c r="H30" s="13">
        <v>286.02999999999997</v>
      </c>
      <c r="I30" s="13">
        <v>303.52</v>
      </c>
      <c r="J30" s="13">
        <v>303.52</v>
      </c>
      <c r="K30" s="13">
        <v>303.52</v>
      </c>
      <c r="L30" s="13">
        <v>295</v>
      </c>
      <c r="M30" s="13">
        <v>303</v>
      </c>
      <c r="N30" s="13">
        <v>280</v>
      </c>
      <c r="O30" s="9">
        <f t="shared" si="4"/>
        <v>3488.37</v>
      </c>
    </row>
    <row r="31" spans="1:15" ht="15" customHeight="1" x14ac:dyDescent="0.25">
      <c r="A31" s="12" t="s">
        <v>29</v>
      </c>
      <c r="B31" s="11" t="s">
        <v>225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9">
        <f t="shared" si="4"/>
        <v>0</v>
      </c>
    </row>
    <row r="32" spans="1:15" ht="15" customHeight="1" x14ac:dyDescent="0.25">
      <c r="A32" s="12" t="s">
        <v>31</v>
      </c>
      <c r="B32" s="11" t="s">
        <v>226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185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9">
        <f t="shared" si="4"/>
        <v>185</v>
      </c>
    </row>
    <row r="33" spans="1:15" ht="15" customHeight="1" x14ac:dyDescent="0.25">
      <c r="A33" s="12" t="s">
        <v>33</v>
      </c>
      <c r="B33" s="11" t="s">
        <v>227</v>
      </c>
      <c r="C33" s="13">
        <v>975</v>
      </c>
      <c r="D33" s="13">
        <v>575</v>
      </c>
      <c r="E33" s="13">
        <v>575</v>
      </c>
      <c r="F33" s="13">
        <v>0</v>
      </c>
      <c r="G33" s="13">
        <v>575</v>
      </c>
      <c r="H33" s="13">
        <v>575</v>
      </c>
      <c r="I33" s="13">
        <v>1150</v>
      </c>
      <c r="J33" s="13">
        <v>575</v>
      </c>
      <c r="K33" s="13">
        <v>575</v>
      </c>
      <c r="L33" s="13">
        <v>575</v>
      </c>
      <c r="M33" s="13">
        <v>575</v>
      </c>
      <c r="N33" s="13">
        <v>575</v>
      </c>
      <c r="O33" s="9">
        <f t="shared" si="4"/>
        <v>7300</v>
      </c>
    </row>
    <row r="34" spans="1:15" ht="15" customHeight="1" x14ac:dyDescent="0.25">
      <c r="A34" s="12" t="s">
        <v>338</v>
      </c>
      <c r="B34" s="11" t="s">
        <v>337</v>
      </c>
      <c r="C34" s="13">
        <v>510</v>
      </c>
      <c r="D34" s="13">
        <v>970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9">
        <f t="shared" si="4"/>
        <v>1480</v>
      </c>
    </row>
    <row r="35" spans="1:15" ht="15" customHeight="1" x14ac:dyDescent="0.25">
      <c r="A35" s="12" t="s">
        <v>35</v>
      </c>
      <c r="B35" s="11" t="s">
        <v>228</v>
      </c>
      <c r="C35" s="13">
        <v>974.25</v>
      </c>
      <c r="D35" s="13">
        <v>974.25</v>
      </c>
      <c r="E35" s="13">
        <v>974.25</v>
      </c>
      <c r="F35" s="13">
        <v>974.25</v>
      </c>
      <c r="G35" s="13">
        <v>1948.5</v>
      </c>
      <c r="H35" s="13">
        <v>0</v>
      </c>
      <c r="I35" s="13">
        <v>974.25</v>
      </c>
      <c r="J35" s="13">
        <v>974.25</v>
      </c>
      <c r="K35" s="13">
        <v>974.25</v>
      </c>
      <c r="L35" s="13">
        <v>974.25</v>
      </c>
      <c r="M35" s="13">
        <v>974.25</v>
      </c>
      <c r="N35" s="13">
        <v>974.25</v>
      </c>
      <c r="O35" s="9">
        <f t="shared" si="4"/>
        <v>11691</v>
      </c>
    </row>
    <row r="36" spans="1:15" ht="15" customHeight="1" x14ac:dyDescent="0.25">
      <c r="A36" s="12" t="s">
        <v>37</v>
      </c>
      <c r="B36" s="11" t="s">
        <v>229</v>
      </c>
      <c r="C36" s="13">
        <v>0</v>
      </c>
      <c r="D36" s="13">
        <v>2185</v>
      </c>
      <c r="E36" s="13">
        <v>2529.6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1500</v>
      </c>
      <c r="O36" s="9">
        <f t="shared" si="4"/>
        <v>6214.6</v>
      </c>
    </row>
    <row r="37" spans="1:15" ht="15" customHeight="1" x14ac:dyDescent="0.25">
      <c r="A37" s="12" t="s">
        <v>39</v>
      </c>
      <c r="B37" s="11" t="s">
        <v>230</v>
      </c>
      <c r="C37" s="13">
        <v>1693.5</v>
      </c>
      <c r="D37" s="13">
        <v>435.58</v>
      </c>
      <c r="E37" s="13">
        <v>243.6</v>
      </c>
      <c r="F37" s="13">
        <v>1641.31</v>
      </c>
      <c r="G37" s="13">
        <v>58.8</v>
      </c>
      <c r="H37" s="13">
        <v>1555.71</v>
      </c>
      <c r="I37" s="13">
        <v>150.01</v>
      </c>
      <c r="J37" s="13">
        <v>58.4</v>
      </c>
      <c r="K37" s="13">
        <v>1510.7</v>
      </c>
      <c r="L37" s="13">
        <v>585</v>
      </c>
      <c r="M37" s="13">
        <v>996</v>
      </c>
      <c r="N37" s="13">
        <v>350</v>
      </c>
      <c r="O37" s="9">
        <f t="shared" si="4"/>
        <v>9278.61</v>
      </c>
    </row>
    <row r="38" spans="1:15" ht="15" customHeight="1" x14ac:dyDescent="0.25">
      <c r="A38" s="12" t="s">
        <v>41</v>
      </c>
      <c r="B38" s="11" t="s">
        <v>231</v>
      </c>
      <c r="C38" s="13">
        <v>0</v>
      </c>
      <c r="D38" s="13">
        <v>0</v>
      </c>
      <c r="E38" s="13">
        <v>527.32000000000005</v>
      </c>
      <c r="F38" s="13">
        <v>0</v>
      </c>
      <c r="G38" s="13">
        <v>0</v>
      </c>
      <c r="H38" s="13">
        <v>0</v>
      </c>
      <c r="I38" s="13">
        <v>100135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9">
        <f t="shared" si="4"/>
        <v>100662.32</v>
      </c>
    </row>
    <row r="39" spans="1:15" ht="15" customHeight="1" x14ac:dyDescent="0.25">
      <c r="A39" s="12" t="s">
        <v>43</v>
      </c>
      <c r="B39" s="11" t="s">
        <v>336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500</v>
      </c>
      <c r="M39" s="13">
        <v>0</v>
      </c>
      <c r="N39" s="13">
        <v>0</v>
      </c>
      <c r="O39" s="9">
        <f t="shared" si="4"/>
        <v>500</v>
      </c>
    </row>
    <row r="40" spans="1:15" ht="15" customHeight="1" x14ac:dyDescent="0.25">
      <c r="A40" s="12" t="s">
        <v>44</v>
      </c>
      <c r="B40" s="11" t="s">
        <v>232</v>
      </c>
      <c r="C40" s="13">
        <v>925</v>
      </c>
      <c r="D40" s="13">
        <v>938.2</v>
      </c>
      <c r="E40" s="13">
        <v>1202.5999999999999</v>
      </c>
      <c r="F40" s="13">
        <v>1063</v>
      </c>
      <c r="G40" s="13">
        <v>1983.6</v>
      </c>
      <c r="H40" s="13">
        <v>0</v>
      </c>
      <c r="I40" s="13">
        <v>925</v>
      </c>
      <c r="J40" s="13">
        <v>925</v>
      </c>
      <c r="K40" s="13">
        <v>925</v>
      </c>
      <c r="L40" s="13">
        <v>925</v>
      </c>
      <c r="M40" s="13">
        <v>925</v>
      </c>
      <c r="N40" s="13">
        <v>925</v>
      </c>
      <c r="O40" s="9">
        <f t="shared" si="4"/>
        <v>11662.4</v>
      </c>
    </row>
    <row r="41" spans="1:15" ht="15" customHeight="1" x14ac:dyDescent="0.25">
      <c r="A41" s="12" t="s">
        <v>46</v>
      </c>
      <c r="B41" s="11" t="s">
        <v>233</v>
      </c>
      <c r="C41" s="13">
        <v>210</v>
      </c>
      <c r="D41" s="13">
        <v>0</v>
      </c>
      <c r="E41" s="13">
        <v>420</v>
      </c>
      <c r="F41" s="13">
        <v>210</v>
      </c>
      <c r="G41" s="13">
        <v>210</v>
      </c>
      <c r="H41" s="13">
        <v>210</v>
      </c>
      <c r="I41" s="13">
        <v>210</v>
      </c>
      <c r="J41" s="13">
        <v>210</v>
      </c>
      <c r="K41" s="13">
        <v>210</v>
      </c>
      <c r="L41" s="13">
        <v>420</v>
      </c>
      <c r="M41" s="13">
        <v>420</v>
      </c>
      <c r="N41" s="13">
        <v>420</v>
      </c>
      <c r="O41" s="9">
        <f t="shared" si="4"/>
        <v>3150</v>
      </c>
    </row>
    <row r="42" spans="1:15" ht="15" customHeight="1" x14ac:dyDescent="0.25">
      <c r="A42" s="12" t="s">
        <v>48</v>
      </c>
      <c r="B42" s="11" t="s">
        <v>234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9">
        <f t="shared" si="4"/>
        <v>0</v>
      </c>
    </row>
    <row r="43" spans="1:15" ht="15" customHeight="1" x14ac:dyDescent="0.25">
      <c r="A43" s="4" t="s">
        <v>235</v>
      </c>
      <c r="B43" s="3" t="s">
        <v>236</v>
      </c>
      <c r="C43" s="8">
        <f t="shared" ref="C43:O43" si="5">SUM(C29:C42)</f>
        <v>5922.38</v>
      </c>
      <c r="D43" s="8">
        <f t="shared" si="5"/>
        <v>6689.9</v>
      </c>
      <c r="E43" s="8">
        <f t="shared" si="5"/>
        <v>7111.24</v>
      </c>
      <c r="F43" s="8">
        <f t="shared" si="5"/>
        <v>4535.67</v>
      </c>
      <c r="G43" s="8">
        <f t="shared" si="5"/>
        <v>5391.8</v>
      </c>
      <c r="H43" s="8">
        <f t="shared" si="5"/>
        <v>3188.29</v>
      </c>
      <c r="I43" s="8">
        <f t="shared" si="5"/>
        <v>104235.41</v>
      </c>
      <c r="J43" s="8">
        <f t="shared" si="5"/>
        <v>3420.15</v>
      </c>
      <c r="K43" s="8">
        <f t="shared" si="5"/>
        <v>4909.03</v>
      </c>
      <c r="L43" s="8">
        <f t="shared" si="5"/>
        <v>4676.25</v>
      </c>
      <c r="M43" s="8">
        <f t="shared" si="5"/>
        <v>4560.25</v>
      </c>
      <c r="N43" s="8">
        <f t="shared" si="5"/>
        <v>5354.25</v>
      </c>
      <c r="O43" s="33">
        <f t="shared" si="5"/>
        <v>159994.62</v>
      </c>
    </row>
    <row r="44" spans="1:15" ht="15" customHeight="1" x14ac:dyDescent="0.25">
      <c r="A44" s="7"/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5"/>
    </row>
    <row r="45" spans="1:15" ht="15" customHeight="1" x14ac:dyDescent="0.25">
      <c r="A45" s="4" t="s">
        <v>237</v>
      </c>
      <c r="B45" s="3" t="s">
        <v>238</v>
      </c>
      <c r="C45" s="8">
        <f t="shared" ref="C45:O45" si="6">C43</f>
        <v>5922.38</v>
      </c>
      <c r="D45" s="8">
        <f t="shared" si="6"/>
        <v>6689.9</v>
      </c>
      <c r="E45" s="8">
        <f t="shared" si="6"/>
        <v>7111.24</v>
      </c>
      <c r="F45" s="8">
        <f t="shared" si="6"/>
        <v>4535.67</v>
      </c>
      <c r="G45" s="8">
        <f t="shared" si="6"/>
        <v>5391.8</v>
      </c>
      <c r="H45" s="8">
        <f t="shared" si="6"/>
        <v>3188.29</v>
      </c>
      <c r="I45" s="8">
        <f t="shared" si="6"/>
        <v>104235.41</v>
      </c>
      <c r="J45" s="8">
        <f t="shared" si="6"/>
        <v>3420.15</v>
      </c>
      <c r="K45" s="8">
        <f t="shared" si="6"/>
        <v>4909.03</v>
      </c>
      <c r="L45" s="8">
        <f t="shared" si="6"/>
        <v>4676.25</v>
      </c>
      <c r="M45" s="8">
        <f t="shared" si="6"/>
        <v>4560.25</v>
      </c>
      <c r="N45" s="8">
        <f t="shared" si="6"/>
        <v>5354.25</v>
      </c>
      <c r="O45" s="33">
        <f t="shared" si="6"/>
        <v>159994.62</v>
      </c>
    </row>
    <row r="46" spans="1:15" ht="15" customHeight="1" x14ac:dyDescent="0.25">
      <c r="A46" s="7"/>
      <c r="B46" s="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/>
    </row>
    <row r="47" spans="1:15" ht="15" customHeight="1" x14ac:dyDescent="0.25">
      <c r="A47" s="4" t="s">
        <v>239</v>
      </c>
      <c r="B47" s="3" t="s">
        <v>240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4"/>
    </row>
    <row r="48" spans="1:15" ht="15" customHeight="1" x14ac:dyDescent="0.25">
      <c r="A48" s="12" t="s">
        <v>52</v>
      </c>
      <c r="B48" s="11" t="s">
        <v>335</v>
      </c>
      <c r="C48" s="13">
        <v>5600</v>
      </c>
      <c r="D48" s="13">
        <v>5600</v>
      </c>
      <c r="E48" s="13">
        <v>5600</v>
      </c>
      <c r="F48" s="13">
        <v>5600</v>
      </c>
      <c r="G48" s="13">
        <v>5600</v>
      </c>
      <c r="H48" s="13">
        <v>5600</v>
      </c>
      <c r="I48" s="13">
        <v>5600</v>
      </c>
      <c r="J48" s="13">
        <v>5600</v>
      </c>
      <c r="K48" s="13">
        <v>5600</v>
      </c>
      <c r="L48" s="13">
        <v>5600</v>
      </c>
      <c r="M48" s="13">
        <v>5600</v>
      </c>
      <c r="N48" s="13">
        <v>5600</v>
      </c>
      <c r="O48" s="9">
        <f>SUM(C48:N48)</f>
        <v>67200</v>
      </c>
    </row>
    <row r="49" spans="1:15" ht="15" customHeight="1" x14ac:dyDescent="0.25">
      <c r="A49" s="12" t="s">
        <v>241</v>
      </c>
      <c r="B49" s="11" t="s">
        <v>334</v>
      </c>
      <c r="C49" s="13">
        <v>617</v>
      </c>
      <c r="D49" s="13">
        <v>617</v>
      </c>
      <c r="E49" s="13">
        <v>617</v>
      </c>
      <c r="F49" s="13">
        <v>617</v>
      </c>
      <c r="G49" s="13">
        <v>617</v>
      </c>
      <c r="H49" s="13">
        <v>617</v>
      </c>
      <c r="I49" s="13">
        <v>617</v>
      </c>
      <c r="J49" s="13">
        <v>617</v>
      </c>
      <c r="K49" s="13">
        <v>617</v>
      </c>
      <c r="L49" s="13">
        <v>617</v>
      </c>
      <c r="M49" s="13">
        <v>617</v>
      </c>
      <c r="N49" s="13">
        <v>617</v>
      </c>
      <c r="O49" s="9">
        <f>SUM(C49:N49)</f>
        <v>7404</v>
      </c>
    </row>
    <row r="50" spans="1:15" ht="15" customHeight="1" x14ac:dyDescent="0.25">
      <c r="A50" s="12" t="s">
        <v>242</v>
      </c>
      <c r="B50" s="11" t="s">
        <v>333</v>
      </c>
      <c r="C50" s="13">
        <v>1894</v>
      </c>
      <c r="D50" s="13">
        <v>1894</v>
      </c>
      <c r="E50" s="13">
        <v>1894</v>
      </c>
      <c r="F50" s="13">
        <v>1894</v>
      </c>
      <c r="G50" s="13">
        <v>1894</v>
      </c>
      <c r="H50" s="13">
        <v>1894</v>
      </c>
      <c r="I50" s="13">
        <v>1894</v>
      </c>
      <c r="J50" s="13">
        <v>1894</v>
      </c>
      <c r="K50" s="13">
        <v>1894</v>
      </c>
      <c r="L50" s="13">
        <v>1894</v>
      </c>
      <c r="M50" s="13">
        <v>1894</v>
      </c>
      <c r="N50" s="13">
        <v>1894</v>
      </c>
      <c r="O50" s="9">
        <f>SUM(C50:N50)</f>
        <v>22728</v>
      </c>
    </row>
    <row r="51" spans="1:15" ht="15" customHeight="1" x14ac:dyDescent="0.25">
      <c r="A51" s="12" t="s">
        <v>54</v>
      </c>
      <c r="B51" s="11" t="s">
        <v>243</v>
      </c>
      <c r="C51" s="10">
        <v>4134.67</v>
      </c>
      <c r="D51" s="10">
        <v>4134.67</v>
      </c>
      <c r="E51" s="10">
        <v>4134.67</v>
      </c>
      <c r="F51" s="10">
        <v>4134.67</v>
      </c>
      <c r="G51" s="10">
        <v>4134.67</v>
      </c>
      <c r="H51" s="10">
        <v>4134.67</v>
      </c>
      <c r="I51" s="10">
        <v>4134.67</v>
      </c>
      <c r="J51" s="10">
        <v>4134.67</v>
      </c>
      <c r="K51" s="10">
        <v>4134.67</v>
      </c>
      <c r="L51" s="10">
        <v>4134.67</v>
      </c>
      <c r="M51" s="10">
        <v>4134.67</v>
      </c>
      <c r="N51" s="10">
        <v>4134.67</v>
      </c>
      <c r="O51" s="9">
        <f>SUM(C51:N51)</f>
        <v>49616.039999999986</v>
      </c>
    </row>
    <row r="52" spans="1:15" ht="15" customHeight="1" x14ac:dyDescent="0.25">
      <c r="A52" s="4" t="s">
        <v>244</v>
      </c>
      <c r="B52" s="3" t="s">
        <v>245</v>
      </c>
      <c r="C52" s="8">
        <f t="shared" ref="C52:O52" si="7">SUM(C48:C51)</f>
        <v>12245.67</v>
      </c>
      <c r="D52" s="8">
        <f t="shared" si="7"/>
        <v>12245.67</v>
      </c>
      <c r="E52" s="8">
        <f t="shared" si="7"/>
        <v>12245.67</v>
      </c>
      <c r="F52" s="8">
        <f t="shared" si="7"/>
        <v>12245.67</v>
      </c>
      <c r="G52" s="8">
        <f t="shared" si="7"/>
        <v>12245.67</v>
      </c>
      <c r="H52" s="8">
        <f t="shared" si="7"/>
        <v>12245.67</v>
      </c>
      <c r="I52" s="8">
        <f t="shared" si="7"/>
        <v>12245.67</v>
      </c>
      <c r="J52" s="8">
        <f t="shared" si="7"/>
        <v>12245.67</v>
      </c>
      <c r="K52" s="8">
        <f t="shared" si="7"/>
        <v>12245.67</v>
      </c>
      <c r="L52" s="8">
        <f t="shared" si="7"/>
        <v>12245.67</v>
      </c>
      <c r="M52" s="8">
        <f t="shared" si="7"/>
        <v>12245.67</v>
      </c>
      <c r="N52" s="8">
        <f t="shared" si="7"/>
        <v>12245.67</v>
      </c>
      <c r="O52" s="33">
        <f t="shared" si="7"/>
        <v>146948.03999999998</v>
      </c>
    </row>
    <row r="53" spans="1:15" ht="15" customHeight="1" x14ac:dyDescent="0.25">
      <c r="A53" s="7"/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5"/>
    </row>
    <row r="54" spans="1:15" ht="15" customHeight="1" x14ac:dyDescent="0.25">
      <c r="A54" s="4" t="s">
        <v>246</v>
      </c>
      <c r="B54" s="3" t="s">
        <v>247</v>
      </c>
      <c r="C54" s="8">
        <f t="shared" ref="C54:O54" si="8">C52+C45</f>
        <v>18168.05</v>
      </c>
      <c r="D54" s="8">
        <f t="shared" si="8"/>
        <v>18935.57</v>
      </c>
      <c r="E54" s="8">
        <f t="shared" si="8"/>
        <v>19356.91</v>
      </c>
      <c r="F54" s="8">
        <f t="shared" si="8"/>
        <v>16781.34</v>
      </c>
      <c r="G54" s="8">
        <f t="shared" si="8"/>
        <v>17637.47</v>
      </c>
      <c r="H54" s="8">
        <f t="shared" si="8"/>
        <v>15433.96</v>
      </c>
      <c r="I54" s="8">
        <f t="shared" si="8"/>
        <v>116481.08</v>
      </c>
      <c r="J54" s="8">
        <f t="shared" si="8"/>
        <v>15665.82</v>
      </c>
      <c r="K54" s="8">
        <f t="shared" si="8"/>
        <v>17154.7</v>
      </c>
      <c r="L54" s="8">
        <f t="shared" si="8"/>
        <v>16921.919999999998</v>
      </c>
      <c r="M54" s="8">
        <f t="shared" si="8"/>
        <v>16805.919999999998</v>
      </c>
      <c r="N54" s="8">
        <f t="shared" si="8"/>
        <v>17599.919999999998</v>
      </c>
      <c r="O54" s="33">
        <f t="shared" si="8"/>
        <v>306942.65999999997</v>
      </c>
    </row>
    <row r="55" spans="1:15" ht="15" customHeight="1" x14ac:dyDescent="0.25">
      <c r="A55" s="7"/>
      <c r="B55" s="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6"/>
    </row>
    <row r="56" spans="1:15" ht="15" customHeight="1" x14ac:dyDescent="0.25">
      <c r="A56" s="4" t="s">
        <v>248</v>
      </c>
      <c r="B56" s="3" t="s">
        <v>249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4"/>
    </row>
    <row r="57" spans="1:15" ht="15" customHeight="1" x14ac:dyDescent="0.25">
      <c r="A57" s="7"/>
      <c r="B57" s="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6"/>
    </row>
    <row r="58" spans="1:15" ht="15" customHeight="1" x14ac:dyDescent="0.25">
      <c r="A58" s="4" t="s">
        <v>250</v>
      </c>
      <c r="B58" s="3" t="s">
        <v>251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4"/>
    </row>
    <row r="59" spans="1:15" ht="15" customHeight="1" x14ac:dyDescent="0.25">
      <c r="A59" s="4" t="s">
        <v>252</v>
      </c>
      <c r="B59" s="3" t="s">
        <v>253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4"/>
    </row>
    <row r="60" spans="1:15" ht="15" customHeight="1" x14ac:dyDescent="0.25">
      <c r="A60" s="12" t="s">
        <v>60</v>
      </c>
      <c r="B60" s="11" t="s">
        <v>254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9">
        <f>SUM(C60:N60)</f>
        <v>0</v>
      </c>
    </row>
    <row r="61" spans="1:15" ht="15" customHeight="1" x14ac:dyDescent="0.25">
      <c r="A61" s="12" t="s">
        <v>62</v>
      </c>
      <c r="B61" s="11" t="s">
        <v>255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2328</v>
      </c>
      <c r="J61" s="10">
        <v>0</v>
      </c>
      <c r="K61" s="10">
        <v>368.5</v>
      </c>
      <c r="L61" s="10">
        <v>0</v>
      </c>
      <c r="M61" s="10">
        <v>576.75</v>
      </c>
      <c r="N61" s="10">
        <v>0</v>
      </c>
      <c r="O61" s="9">
        <f>SUM(C61:N61)</f>
        <v>3273.25</v>
      </c>
    </row>
    <row r="62" spans="1:15" ht="15" customHeight="1" x14ac:dyDescent="0.25">
      <c r="A62" s="4" t="s">
        <v>256</v>
      </c>
      <c r="B62" s="3" t="s">
        <v>257</v>
      </c>
      <c r="C62" s="8">
        <f t="shared" ref="C62:O62" si="9">SUM(C60:C61)</f>
        <v>0</v>
      </c>
      <c r="D62" s="8">
        <f t="shared" si="9"/>
        <v>0</v>
      </c>
      <c r="E62" s="8">
        <f t="shared" si="9"/>
        <v>0</v>
      </c>
      <c r="F62" s="8">
        <f t="shared" si="9"/>
        <v>0</v>
      </c>
      <c r="G62" s="8">
        <f t="shared" si="9"/>
        <v>0</v>
      </c>
      <c r="H62" s="8">
        <f t="shared" si="9"/>
        <v>0</v>
      </c>
      <c r="I62" s="8">
        <f t="shared" si="9"/>
        <v>2328</v>
      </c>
      <c r="J62" s="8">
        <f t="shared" si="9"/>
        <v>0</v>
      </c>
      <c r="K62" s="8">
        <f t="shared" si="9"/>
        <v>368.5</v>
      </c>
      <c r="L62" s="8">
        <f t="shared" si="9"/>
        <v>0</v>
      </c>
      <c r="M62" s="8">
        <f t="shared" si="9"/>
        <v>576.75</v>
      </c>
      <c r="N62" s="8">
        <f t="shared" si="9"/>
        <v>0</v>
      </c>
      <c r="O62" s="33">
        <f t="shared" si="9"/>
        <v>3273.25</v>
      </c>
    </row>
    <row r="63" spans="1:15" ht="1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22"/>
    </row>
    <row r="64" spans="1:15" ht="15" customHeight="1" x14ac:dyDescent="0.25">
      <c r="A64" s="4" t="s">
        <v>258</v>
      </c>
      <c r="B64" s="3" t="s">
        <v>259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0"/>
    </row>
    <row r="65" spans="1:15" ht="15" customHeight="1" x14ac:dyDescent="0.25">
      <c r="A65" s="12" t="s">
        <v>49</v>
      </c>
      <c r="B65" s="11" t="s">
        <v>260</v>
      </c>
      <c r="C65" s="13">
        <v>4184.72</v>
      </c>
      <c r="D65" s="13">
        <v>1169.1199999999999</v>
      </c>
      <c r="E65" s="13">
        <v>3694.09</v>
      </c>
      <c r="F65" s="13">
        <v>3168.08</v>
      </c>
      <c r="G65" s="13">
        <v>4372.33</v>
      </c>
      <c r="H65" s="13">
        <v>2913.07</v>
      </c>
      <c r="I65" s="13">
        <v>4920.71</v>
      </c>
      <c r="J65" s="13">
        <v>2913.09</v>
      </c>
      <c r="K65" s="13">
        <v>3611.67</v>
      </c>
      <c r="L65" s="13">
        <v>3267.45</v>
      </c>
      <c r="M65" s="13">
        <v>3033.09</v>
      </c>
      <c r="N65" s="13">
        <v>3200</v>
      </c>
      <c r="O65" s="9">
        <f>SUM(C65:N65)</f>
        <v>40447.42</v>
      </c>
    </row>
    <row r="66" spans="1:15" ht="15" customHeight="1" x14ac:dyDescent="0.25">
      <c r="A66" s="12" t="s">
        <v>332</v>
      </c>
      <c r="B66" s="11" t="s">
        <v>331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3000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9">
        <f>SUM(C66:N66)</f>
        <v>3000</v>
      </c>
    </row>
    <row r="67" spans="1:15" ht="15" customHeight="1" x14ac:dyDescent="0.25">
      <c r="A67" s="12" t="s">
        <v>66</v>
      </c>
      <c r="B67" s="11" t="s">
        <v>261</v>
      </c>
      <c r="C67" s="10">
        <v>721.39</v>
      </c>
      <c r="D67" s="10">
        <v>717.39</v>
      </c>
      <c r="E67" s="10">
        <v>759.2</v>
      </c>
      <c r="F67" s="10">
        <v>760.15</v>
      </c>
      <c r="G67" s="10">
        <v>772.13</v>
      </c>
      <c r="H67" s="10">
        <v>743.82</v>
      </c>
      <c r="I67" s="10">
        <v>778.52</v>
      </c>
      <c r="J67" s="10">
        <v>748.88</v>
      </c>
      <c r="K67" s="10">
        <v>748.15</v>
      </c>
      <c r="L67" s="10">
        <v>828.94</v>
      </c>
      <c r="M67" s="10">
        <v>811.36</v>
      </c>
      <c r="N67" s="10">
        <v>800</v>
      </c>
      <c r="O67" s="9">
        <f>SUM(C67:N67)</f>
        <v>9189.93</v>
      </c>
    </row>
    <row r="68" spans="1:15" ht="15" customHeight="1" x14ac:dyDescent="0.25">
      <c r="A68" s="4" t="s">
        <v>262</v>
      </c>
      <c r="B68" s="3" t="s">
        <v>263</v>
      </c>
      <c r="C68" s="8">
        <f t="shared" ref="C68:O68" si="10">SUM(C65:C67)</f>
        <v>4906.1100000000006</v>
      </c>
      <c r="D68" s="8">
        <f t="shared" si="10"/>
        <v>1886.5099999999998</v>
      </c>
      <c r="E68" s="8">
        <f t="shared" si="10"/>
        <v>4453.29</v>
      </c>
      <c r="F68" s="8">
        <f t="shared" si="10"/>
        <v>3928.23</v>
      </c>
      <c r="G68" s="8">
        <f t="shared" si="10"/>
        <v>5144.46</v>
      </c>
      <c r="H68" s="8">
        <f t="shared" si="10"/>
        <v>6656.8899999999994</v>
      </c>
      <c r="I68" s="8">
        <f t="shared" si="10"/>
        <v>5699.23</v>
      </c>
      <c r="J68" s="8">
        <f t="shared" si="10"/>
        <v>3661.9700000000003</v>
      </c>
      <c r="K68" s="8">
        <f t="shared" si="10"/>
        <v>4359.82</v>
      </c>
      <c r="L68" s="8">
        <f t="shared" si="10"/>
        <v>4096.3899999999994</v>
      </c>
      <c r="M68" s="8">
        <f t="shared" si="10"/>
        <v>3844.4500000000003</v>
      </c>
      <c r="N68" s="8">
        <f t="shared" si="10"/>
        <v>4000</v>
      </c>
      <c r="O68" s="33">
        <f t="shared" si="10"/>
        <v>52637.35</v>
      </c>
    </row>
    <row r="69" spans="1:15" ht="15" customHeight="1" x14ac:dyDescent="0.25">
      <c r="A69" s="7"/>
      <c r="B69" s="7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5"/>
    </row>
    <row r="70" spans="1:15" ht="15" customHeight="1" x14ac:dyDescent="0.25">
      <c r="A70" s="4" t="s">
        <v>264</v>
      </c>
      <c r="B70" s="3" t="s">
        <v>265</v>
      </c>
      <c r="C70" s="8">
        <f t="shared" ref="C70:O70" si="11">C68+C62</f>
        <v>4906.1100000000006</v>
      </c>
      <c r="D70" s="8">
        <f t="shared" si="11"/>
        <v>1886.5099999999998</v>
      </c>
      <c r="E70" s="8">
        <f t="shared" si="11"/>
        <v>4453.29</v>
      </c>
      <c r="F70" s="8">
        <f t="shared" si="11"/>
        <v>3928.23</v>
      </c>
      <c r="G70" s="8">
        <f t="shared" si="11"/>
        <v>5144.46</v>
      </c>
      <c r="H70" s="8">
        <f t="shared" si="11"/>
        <v>6656.8899999999994</v>
      </c>
      <c r="I70" s="8">
        <f t="shared" si="11"/>
        <v>8027.23</v>
      </c>
      <c r="J70" s="8">
        <f t="shared" si="11"/>
        <v>3661.9700000000003</v>
      </c>
      <c r="K70" s="8">
        <f t="shared" si="11"/>
        <v>4728.32</v>
      </c>
      <c r="L70" s="8">
        <f t="shared" si="11"/>
        <v>4096.3899999999994</v>
      </c>
      <c r="M70" s="8">
        <f t="shared" si="11"/>
        <v>4421.2000000000007</v>
      </c>
      <c r="N70" s="8">
        <f t="shared" si="11"/>
        <v>4000</v>
      </c>
      <c r="O70" s="33">
        <f t="shared" si="11"/>
        <v>55910.6</v>
      </c>
    </row>
    <row r="71" spans="1:15" ht="15" customHeight="1" x14ac:dyDescent="0.25">
      <c r="A71" s="7"/>
      <c r="B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5"/>
    </row>
    <row r="72" spans="1:15" ht="15" customHeight="1" x14ac:dyDescent="0.25">
      <c r="A72" s="4" t="s">
        <v>266</v>
      </c>
      <c r="B72" s="3" t="s">
        <v>267</v>
      </c>
      <c r="C72" s="8">
        <f t="shared" ref="C72:O72" si="12">C70+C54</f>
        <v>23074.16</v>
      </c>
      <c r="D72" s="8">
        <f t="shared" si="12"/>
        <v>20822.079999999998</v>
      </c>
      <c r="E72" s="8">
        <f t="shared" si="12"/>
        <v>23810.2</v>
      </c>
      <c r="F72" s="8">
        <f t="shared" si="12"/>
        <v>20709.57</v>
      </c>
      <c r="G72" s="8">
        <f t="shared" si="12"/>
        <v>22781.93</v>
      </c>
      <c r="H72" s="8">
        <f t="shared" si="12"/>
        <v>22090.85</v>
      </c>
      <c r="I72" s="8">
        <f t="shared" si="12"/>
        <v>124508.31</v>
      </c>
      <c r="J72" s="8">
        <f t="shared" si="12"/>
        <v>19327.79</v>
      </c>
      <c r="K72" s="8">
        <f t="shared" si="12"/>
        <v>21883.02</v>
      </c>
      <c r="L72" s="8">
        <f t="shared" si="12"/>
        <v>21018.309999999998</v>
      </c>
      <c r="M72" s="8">
        <f t="shared" si="12"/>
        <v>21227.119999999999</v>
      </c>
      <c r="N72" s="8">
        <f t="shared" si="12"/>
        <v>21599.919999999998</v>
      </c>
      <c r="O72" s="33">
        <f t="shared" si="12"/>
        <v>362853.25999999995</v>
      </c>
    </row>
    <row r="73" spans="1:15" ht="15" customHeight="1" x14ac:dyDescent="0.25">
      <c r="A73" s="7"/>
      <c r="B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5"/>
    </row>
    <row r="74" spans="1:15" ht="15" customHeight="1" thickBot="1" x14ac:dyDescent="0.3">
      <c r="A74" s="4" t="s">
        <v>268</v>
      </c>
      <c r="B74" s="3" t="s">
        <v>269</v>
      </c>
      <c r="C74" s="2">
        <f t="shared" ref="C74:O74" si="13">C22-C72</f>
        <v>6153.73</v>
      </c>
      <c r="D74" s="2">
        <f t="shared" si="13"/>
        <v>71530.210000000006</v>
      </c>
      <c r="E74" s="2">
        <f t="shared" si="13"/>
        <v>55391.710000000006</v>
      </c>
      <c r="F74" s="2">
        <f t="shared" si="13"/>
        <v>88598.699999999983</v>
      </c>
      <c r="G74" s="2">
        <f t="shared" si="13"/>
        <v>50044.910000000011</v>
      </c>
      <c r="H74" s="2">
        <f t="shared" si="13"/>
        <v>100926.81000000003</v>
      </c>
      <c r="I74" s="2">
        <f t="shared" si="13"/>
        <v>-51681.119999999995</v>
      </c>
      <c r="J74" s="2">
        <f t="shared" si="13"/>
        <v>70963.88</v>
      </c>
      <c r="K74" s="2">
        <f t="shared" si="13"/>
        <v>59985.229999999996</v>
      </c>
      <c r="L74" s="2">
        <f t="shared" si="13"/>
        <v>54808.570000000007</v>
      </c>
      <c r="M74" s="2">
        <f t="shared" si="13"/>
        <v>61153.60000000002</v>
      </c>
      <c r="N74" s="2">
        <f t="shared" si="13"/>
        <v>60791.700000000012</v>
      </c>
      <c r="O74" s="34">
        <f t="shared" si="13"/>
        <v>628667.93000000017</v>
      </c>
    </row>
    <row r="75" spans="1:15" ht="15" customHeight="1" thickTop="1" x14ac:dyDescent="0.25">
      <c r="A75" s="7"/>
      <c r="B75" s="7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8"/>
    </row>
    <row r="76" spans="1:15" ht="15" customHeight="1" x14ac:dyDescent="0.25">
      <c r="A76" s="4" t="s">
        <v>270</v>
      </c>
      <c r="B76" s="3" t="s">
        <v>271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4"/>
    </row>
    <row r="77" spans="1:15" ht="15" customHeight="1" x14ac:dyDescent="0.25">
      <c r="A77" s="7"/>
      <c r="B77" s="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6"/>
    </row>
    <row r="78" spans="1:15" ht="15" customHeight="1" x14ac:dyDescent="0.25">
      <c r="A78" s="4" t="s">
        <v>272</v>
      </c>
      <c r="B78" s="3" t="s">
        <v>273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4"/>
    </row>
    <row r="79" spans="1:15" ht="15" customHeight="1" x14ac:dyDescent="0.25">
      <c r="A79" s="12" t="s">
        <v>73</v>
      </c>
      <c r="B79" s="11" t="s">
        <v>274</v>
      </c>
      <c r="C79" s="10">
        <v>506</v>
      </c>
      <c r="D79" s="10">
        <v>506</v>
      </c>
      <c r="E79" s="10">
        <v>506</v>
      </c>
      <c r="F79" s="10">
        <v>506</v>
      </c>
      <c r="G79" s="10">
        <v>506</v>
      </c>
      <c r="H79" s="10">
        <v>506</v>
      </c>
      <c r="I79" s="10">
        <v>506</v>
      </c>
      <c r="J79" s="10">
        <v>506</v>
      </c>
      <c r="K79" s="10">
        <v>506</v>
      </c>
      <c r="L79" s="10">
        <v>506</v>
      </c>
      <c r="M79" s="10">
        <v>506</v>
      </c>
      <c r="N79" s="10">
        <v>506</v>
      </c>
      <c r="O79" s="9">
        <f>SUM(C79:N79)</f>
        <v>6072</v>
      </c>
    </row>
    <row r="80" spans="1:15" ht="15" customHeight="1" x14ac:dyDescent="0.25">
      <c r="A80" s="4" t="s">
        <v>275</v>
      </c>
      <c r="B80" s="3" t="s">
        <v>276</v>
      </c>
      <c r="C80" s="8">
        <f t="shared" ref="C80:O80" si="14">C79</f>
        <v>506</v>
      </c>
      <c r="D80" s="8">
        <f t="shared" si="14"/>
        <v>506</v>
      </c>
      <c r="E80" s="8">
        <f t="shared" si="14"/>
        <v>506</v>
      </c>
      <c r="F80" s="8">
        <f t="shared" si="14"/>
        <v>506</v>
      </c>
      <c r="G80" s="8">
        <f t="shared" si="14"/>
        <v>506</v>
      </c>
      <c r="H80" s="8">
        <f t="shared" si="14"/>
        <v>506</v>
      </c>
      <c r="I80" s="8">
        <f t="shared" si="14"/>
        <v>506</v>
      </c>
      <c r="J80" s="8">
        <f t="shared" si="14"/>
        <v>506</v>
      </c>
      <c r="K80" s="8">
        <f t="shared" si="14"/>
        <v>506</v>
      </c>
      <c r="L80" s="8">
        <f t="shared" si="14"/>
        <v>506</v>
      </c>
      <c r="M80" s="8">
        <f t="shared" si="14"/>
        <v>506</v>
      </c>
      <c r="N80" s="8">
        <f t="shared" si="14"/>
        <v>506</v>
      </c>
      <c r="O80" s="33">
        <f t="shared" si="14"/>
        <v>6072</v>
      </c>
    </row>
    <row r="81" spans="1:15" ht="15" customHeight="1" x14ac:dyDescent="0.25">
      <c r="A81" s="7"/>
      <c r="B81" s="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6"/>
    </row>
    <row r="82" spans="1:15" ht="15" customHeight="1" x14ac:dyDescent="0.25">
      <c r="A82" s="4" t="s">
        <v>277</v>
      </c>
      <c r="B82" s="3" t="s">
        <v>278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4"/>
    </row>
    <row r="83" spans="1:15" ht="15" customHeight="1" x14ac:dyDescent="0.25">
      <c r="A83" s="12" t="s">
        <v>75</v>
      </c>
      <c r="B83" s="11" t="s">
        <v>279</v>
      </c>
      <c r="C83" s="10">
        <v>17552.5</v>
      </c>
      <c r="D83" s="10">
        <v>15853.87</v>
      </c>
      <c r="E83" s="10">
        <v>17552.5</v>
      </c>
      <c r="F83" s="10">
        <v>16986.29</v>
      </c>
      <c r="G83" s="10">
        <v>17552.5</v>
      </c>
      <c r="H83" s="10">
        <v>16986.29</v>
      </c>
      <c r="I83" s="10">
        <v>17552.5</v>
      </c>
      <c r="J83" s="10">
        <v>17552.5</v>
      </c>
      <c r="K83" s="10">
        <v>16986.29</v>
      </c>
      <c r="L83" s="10">
        <v>17552.5</v>
      </c>
      <c r="M83" s="10">
        <v>16986.29</v>
      </c>
      <c r="N83" s="10">
        <v>17552.5</v>
      </c>
      <c r="O83" s="9">
        <f>SUM(C83:N83)</f>
        <v>206666.53000000003</v>
      </c>
    </row>
    <row r="84" spans="1:15" ht="15" customHeight="1" x14ac:dyDescent="0.25">
      <c r="A84" s="4" t="s">
        <v>280</v>
      </c>
      <c r="B84" s="3" t="s">
        <v>281</v>
      </c>
      <c r="C84" s="8">
        <f t="shared" ref="C84:O84" si="15">C83</f>
        <v>17552.5</v>
      </c>
      <c r="D84" s="8">
        <f t="shared" si="15"/>
        <v>15853.87</v>
      </c>
      <c r="E84" s="8">
        <f t="shared" si="15"/>
        <v>17552.5</v>
      </c>
      <c r="F84" s="8">
        <f t="shared" si="15"/>
        <v>16986.29</v>
      </c>
      <c r="G84" s="8">
        <f t="shared" si="15"/>
        <v>17552.5</v>
      </c>
      <c r="H84" s="8">
        <f t="shared" si="15"/>
        <v>16986.29</v>
      </c>
      <c r="I84" s="8">
        <f t="shared" si="15"/>
        <v>17552.5</v>
      </c>
      <c r="J84" s="8">
        <f t="shared" si="15"/>
        <v>17552.5</v>
      </c>
      <c r="K84" s="8">
        <f t="shared" si="15"/>
        <v>16986.29</v>
      </c>
      <c r="L84" s="8">
        <f t="shared" si="15"/>
        <v>17552.5</v>
      </c>
      <c r="M84" s="8">
        <f t="shared" si="15"/>
        <v>16986.29</v>
      </c>
      <c r="N84" s="8">
        <f t="shared" si="15"/>
        <v>17552.5</v>
      </c>
      <c r="O84" s="33">
        <f t="shared" si="15"/>
        <v>206666.53000000003</v>
      </c>
    </row>
    <row r="85" spans="1:15" ht="15" customHeight="1" x14ac:dyDescent="0.25">
      <c r="A85" s="7"/>
      <c r="B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5"/>
    </row>
    <row r="86" spans="1:15" ht="15" customHeight="1" x14ac:dyDescent="0.25">
      <c r="A86" s="4" t="s">
        <v>282</v>
      </c>
      <c r="B86" s="3" t="s">
        <v>283</v>
      </c>
      <c r="C86" s="8">
        <f t="shared" ref="C86:O86" si="16">C84+C80</f>
        <v>18058.5</v>
      </c>
      <c r="D86" s="8">
        <f t="shared" si="16"/>
        <v>16359.87</v>
      </c>
      <c r="E86" s="8">
        <f t="shared" si="16"/>
        <v>18058.5</v>
      </c>
      <c r="F86" s="8">
        <f t="shared" si="16"/>
        <v>17492.29</v>
      </c>
      <c r="G86" s="8">
        <f t="shared" si="16"/>
        <v>18058.5</v>
      </c>
      <c r="H86" s="8">
        <f t="shared" si="16"/>
        <v>17492.29</v>
      </c>
      <c r="I86" s="8">
        <f t="shared" si="16"/>
        <v>18058.5</v>
      </c>
      <c r="J86" s="8">
        <f t="shared" si="16"/>
        <v>18058.5</v>
      </c>
      <c r="K86" s="8">
        <f t="shared" si="16"/>
        <v>17492.29</v>
      </c>
      <c r="L86" s="8">
        <f t="shared" si="16"/>
        <v>18058.5</v>
      </c>
      <c r="M86" s="8">
        <f t="shared" si="16"/>
        <v>17492.29</v>
      </c>
      <c r="N86" s="8">
        <f t="shared" si="16"/>
        <v>18058.5</v>
      </c>
      <c r="O86" s="33">
        <f t="shared" si="16"/>
        <v>212738.53000000003</v>
      </c>
    </row>
    <row r="87" spans="1:15" ht="15" customHeight="1" x14ac:dyDescent="0.25">
      <c r="A87" s="7"/>
      <c r="B87" s="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6"/>
    </row>
    <row r="88" spans="1:15" ht="15" customHeight="1" x14ac:dyDescent="0.25">
      <c r="A88" s="4" t="s">
        <v>284</v>
      </c>
      <c r="B88" s="3" t="s">
        <v>285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4"/>
    </row>
    <row r="89" spans="1:15" ht="15" customHeight="1" x14ac:dyDescent="0.25">
      <c r="A89" s="12" t="s">
        <v>79</v>
      </c>
      <c r="B89" s="11" t="s">
        <v>286</v>
      </c>
      <c r="C89" s="13">
        <v>30170.1</v>
      </c>
      <c r="D89" s="13">
        <v>30131.9</v>
      </c>
      <c r="E89" s="13">
        <v>27181.25</v>
      </c>
      <c r="F89" s="13">
        <v>30042.400000000001</v>
      </c>
      <c r="G89" s="13">
        <v>29035.79</v>
      </c>
      <c r="H89" s="13">
        <v>29960.54</v>
      </c>
      <c r="I89" s="13">
        <v>28956.22</v>
      </c>
      <c r="J89" s="13">
        <v>29877.97</v>
      </c>
      <c r="K89" s="13">
        <v>29838.51</v>
      </c>
      <c r="L89" s="13">
        <v>28837.61</v>
      </c>
      <c r="M89" s="13">
        <v>29754.9</v>
      </c>
      <c r="N89" s="13">
        <v>28756.36</v>
      </c>
      <c r="O89" s="9">
        <f>SUM(C89:N89)</f>
        <v>352543.55</v>
      </c>
    </row>
    <row r="90" spans="1:15" ht="15" customHeight="1" x14ac:dyDescent="0.25">
      <c r="A90" s="12" t="s">
        <v>81</v>
      </c>
      <c r="B90" s="11" t="s">
        <v>287</v>
      </c>
      <c r="C90" s="10">
        <v>0</v>
      </c>
      <c r="D90" s="10">
        <v>0</v>
      </c>
      <c r="E90" s="10">
        <v>0</v>
      </c>
      <c r="F90" s="10">
        <v>5000</v>
      </c>
      <c r="G90" s="10">
        <v>0</v>
      </c>
      <c r="H90" s="10">
        <v>0</v>
      </c>
      <c r="I90" s="10">
        <v>0</v>
      </c>
      <c r="J90" s="10">
        <v>6175</v>
      </c>
      <c r="K90" s="10">
        <v>0</v>
      </c>
      <c r="L90" s="10">
        <v>0</v>
      </c>
      <c r="M90" s="10">
        <v>0</v>
      </c>
      <c r="N90" s="10">
        <v>0</v>
      </c>
      <c r="O90" s="9">
        <f>SUM(C90:N90)</f>
        <v>11175</v>
      </c>
    </row>
    <row r="91" spans="1:15" ht="15" customHeight="1" x14ac:dyDescent="0.25">
      <c r="A91" s="4" t="s">
        <v>288</v>
      </c>
      <c r="B91" s="3" t="s">
        <v>289</v>
      </c>
      <c r="C91" s="8">
        <f t="shared" ref="C91:O91" si="17">SUM(C89:C90)</f>
        <v>30170.1</v>
      </c>
      <c r="D91" s="8">
        <f t="shared" si="17"/>
        <v>30131.9</v>
      </c>
      <c r="E91" s="8">
        <f t="shared" si="17"/>
        <v>27181.25</v>
      </c>
      <c r="F91" s="8">
        <f t="shared" si="17"/>
        <v>35042.400000000001</v>
      </c>
      <c r="G91" s="8">
        <f t="shared" si="17"/>
        <v>29035.79</v>
      </c>
      <c r="H91" s="8">
        <f t="shared" si="17"/>
        <v>29960.54</v>
      </c>
      <c r="I91" s="8">
        <f t="shared" si="17"/>
        <v>28956.22</v>
      </c>
      <c r="J91" s="8">
        <f t="shared" si="17"/>
        <v>36052.97</v>
      </c>
      <c r="K91" s="8">
        <f t="shared" si="17"/>
        <v>29838.51</v>
      </c>
      <c r="L91" s="8">
        <f t="shared" si="17"/>
        <v>28837.61</v>
      </c>
      <c r="M91" s="8">
        <f t="shared" si="17"/>
        <v>29754.9</v>
      </c>
      <c r="N91" s="8">
        <f t="shared" si="17"/>
        <v>28756.36</v>
      </c>
      <c r="O91" s="33">
        <f t="shared" si="17"/>
        <v>363718.55</v>
      </c>
    </row>
    <row r="92" spans="1:15" ht="15" customHeight="1" x14ac:dyDescent="0.25">
      <c r="A92" s="7"/>
      <c r="B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5"/>
    </row>
    <row r="93" spans="1:15" ht="15" customHeight="1" x14ac:dyDescent="0.25">
      <c r="A93" s="4" t="s">
        <v>290</v>
      </c>
      <c r="B93" s="3" t="s">
        <v>291</v>
      </c>
      <c r="C93" s="8">
        <f t="shared" ref="C93:O93" si="18">C91+C86</f>
        <v>48228.6</v>
      </c>
      <c r="D93" s="8">
        <f t="shared" si="18"/>
        <v>46491.770000000004</v>
      </c>
      <c r="E93" s="8">
        <f t="shared" si="18"/>
        <v>45239.75</v>
      </c>
      <c r="F93" s="8">
        <f t="shared" si="18"/>
        <v>52534.69</v>
      </c>
      <c r="G93" s="8">
        <f t="shared" si="18"/>
        <v>47094.29</v>
      </c>
      <c r="H93" s="8">
        <f t="shared" si="18"/>
        <v>47452.83</v>
      </c>
      <c r="I93" s="8">
        <f t="shared" si="18"/>
        <v>47014.720000000001</v>
      </c>
      <c r="J93" s="8">
        <f t="shared" si="18"/>
        <v>54111.47</v>
      </c>
      <c r="K93" s="8">
        <f t="shared" si="18"/>
        <v>47330.8</v>
      </c>
      <c r="L93" s="8">
        <f t="shared" si="18"/>
        <v>46896.11</v>
      </c>
      <c r="M93" s="8">
        <f t="shared" si="18"/>
        <v>47247.19</v>
      </c>
      <c r="N93" s="8">
        <f t="shared" si="18"/>
        <v>46814.86</v>
      </c>
      <c r="O93" s="33">
        <f t="shared" si="18"/>
        <v>576457.08000000007</v>
      </c>
    </row>
    <row r="94" spans="1:15" ht="15" customHeight="1" x14ac:dyDescent="0.25">
      <c r="A94" s="7"/>
      <c r="B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5"/>
    </row>
    <row r="95" spans="1:15" ht="15" customHeight="1" thickBot="1" x14ac:dyDescent="0.3">
      <c r="A95" s="4" t="s">
        <v>292</v>
      </c>
      <c r="B95" s="3" t="s">
        <v>293</v>
      </c>
      <c r="C95" s="2">
        <f t="shared" ref="C95:O95" si="19">C74-C93</f>
        <v>-42074.869999999995</v>
      </c>
      <c r="D95" s="2">
        <f t="shared" si="19"/>
        <v>25038.440000000002</v>
      </c>
      <c r="E95" s="2">
        <f t="shared" si="19"/>
        <v>10151.960000000006</v>
      </c>
      <c r="F95" s="2">
        <f t="shared" si="19"/>
        <v>36064.00999999998</v>
      </c>
      <c r="G95" s="2">
        <f t="shared" si="19"/>
        <v>2950.6200000000099</v>
      </c>
      <c r="H95" s="2">
        <f t="shared" si="19"/>
        <v>53473.980000000025</v>
      </c>
      <c r="I95" s="2">
        <f t="shared" si="19"/>
        <v>-98695.84</v>
      </c>
      <c r="J95" s="2">
        <f t="shared" si="19"/>
        <v>16852.410000000003</v>
      </c>
      <c r="K95" s="2">
        <f t="shared" si="19"/>
        <v>12654.429999999993</v>
      </c>
      <c r="L95" s="2">
        <f t="shared" si="19"/>
        <v>7912.4600000000064</v>
      </c>
      <c r="M95" s="2">
        <f t="shared" si="19"/>
        <v>13906.410000000018</v>
      </c>
      <c r="N95" s="2">
        <f t="shared" si="19"/>
        <v>13976.840000000011</v>
      </c>
      <c r="O95" s="34">
        <f t="shared" si="19"/>
        <v>52210.850000000093</v>
      </c>
    </row>
    <row r="96" spans="1:15" ht="15.75" thickTop="1" x14ac:dyDescent="0.25"/>
  </sheetData>
  <mergeCells count="2">
    <mergeCell ref="A1:O1"/>
    <mergeCell ref="A2:O2"/>
  </mergeCells>
  <pageMargins left="0.7" right="0.7" top="0.7" bottom="0.7" header="0.5" footer="0.5"/>
  <pageSetup paperSize="5" scale="75" fitToHeight="990" orientation="landscape" useFirstPageNumber="1" r:id="rId1"/>
  <headerFooter alignWithMargins="0">
    <oddHeader>&amp;R&amp;B&amp;D &amp;T</oddHeader>
    <oddFooter>&amp;C&amp;B Page &amp;P of &amp;N</oddFooter>
  </headerFooter>
  <rowBreaks count="1" manualBreakCount="1">
    <brk id="3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FA57-C270-4D07-BA32-B2E6C3557C4F}">
  <sheetPr>
    <pageSetUpPr fitToPage="1"/>
  </sheetPr>
  <dimension ref="A1:T124"/>
  <sheetViews>
    <sheetView topLeftCell="A2" workbookViewId="0">
      <selection activeCell="I26" sqref="I26"/>
    </sheetView>
  </sheetViews>
  <sheetFormatPr defaultColWidth="9.140625" defaultRowHeight="15" x14ac:dyDescent="0.25"/>
  <cols>
    <col min="1" max="1" width="8.7109375" style="1" customWidth="1"/>
    <col min="2" max="2" width="22.140625" style="1" customWidth="1"/>
    <col min="3" max="3" width="12.28515625" style="1" customWidth="1"/>
    <col min="4" max="4" width="12.85546875" style="1" customWidth="1"/>
    <col min="5" max="17" width="10" style="1" customWidth="1"/>
    <col min="18" max="18" width="28" style="1" customWidth="1"/>
    <col min="19" max="16384" width="9.140625" style="1"/>
  </cols>
  <sheetData>
    <row r="1" spans="1:20" x14ac:dyDescent="0.25">
      <c r="A1" s="319" t="s">
        <v>356</v>
      </c>
      <c r="B1" s="319"/>
      <c r="C1" s="319"/>
      <c r="D1" s="319"/>
    </row>
    <row r="2" spans="1:20" x14ac:dyDescent="0.25">
      <c r="A2" s="67" t="s">
        <v>84</v>
      </c>
      <c r="B2" s="68"/>
      <c r="C2" s="68"/>
      <c r="O2" s="1" t="s">
        <v>85</v>
      </c>
    </row>
    <row r="3" spans="1:20" x14ac:dyDescent="0.25">
      <c r="A3" s="68" t="s">
        <v>85</v>
      </c>
      <c r="B3" s="69" t="s">
        <v>85</v>
      </c>
      <c r="C3" s="68"/>
      <c r="T3" s="1" t="s">
        <v>85</v>
      </c>
    </row>
    <row r="4" spans="1:20" x14ac:dyDescent="0.25">
      <c r="T4" s="1" t="s">
        <v>85</v>
      </c>
    </row>
    <row r="5" spans="1:20" x14ac:dyDescent="0.25">
      <c r="A5" s="70" t="s">
        <v>86</v>
      </c>
      <c r="B5" s="70" t="s">
        <v>87</v>
      </c>
      <c r="C5" s="70" t="s">
        <v>88</v>
      </c>
      <c r="D5" s="71" t="s">
        <v>89</v>
      </c>
      <c r="E5" s="71" t="s">
        <v>90</v>
      </c>
      <c r="F5" s="71" t="s">
        <v>91</v>
      </c>
      <c r="G5" s="71" t="s">
        <v>92</v>
      </c>
      <c r="H5" s="71" t="s">
        <v>93</v>
      </c>
      <c r="I5" s="71" t="s">
        <v>94</v>
      </c>
      <c r="J5" s="71" t="s">
        <v>95</v>
      </c>
      <c r="K5" s="71" t="s">
        <v>96</v>
      </c>
      <c r="L5" s="71" t="s">
        <v>97</v>
      </c>
      <c r="M5" s="71" t="s">
        <v>98</v>
      </c>
      <c r="N5" s="71" t="s">
        <v>99</v>
      </c>
      <c r="O5" s="71" t="s">
        <v>100</v>
      </c>
      <c r="P5" s="71" t="s">
        <v>101</v>
      </c>
      <c r="Q5" s="71" t="s">
        <v>102</v>
      </c>
      <c r="R5" s="72" t="s">
        <v>300</v>
      </c>
      <c r="T5" s="1" t="s">
        <v>85</v>
      </c>
    </row>
    <row r="6" spans="1:20" x14ac:dyDescent="0.25">
      <c r="A6" s="73">
        <v>3301</v>
      </c>
      <c r="B6" s="1" t="s">
        <v>103</v>
      </c>
      <c r="C6" s="74">
        <v>2000</v>
      </c>
      <c r="D6" s="75">
        <v>45930</v>
      </c>
      <c r="E6" s="76">
        <v>8833.33</v>
      </c>
      <c r="F6" s="76">
        <v>8833.33</v>
      </c>
      <c r="G6" s="76">
        <v>8833.33</v>
      </c>
      <c r="H6" s="76">
        <v>8833.33</v>
      </c>
      <c r="I6" s="76">
        <v>8833.33</v>
      </c>
      <c r="J6" s="76">
        <v>8833.33</v>
      </c>
      <c r="K6" s="76">
        <v>8833.33</v>
      </c>
      <c r="L6" s="76">
        <v>8833.33</v>
      </c>
      <c r="M6" s="76">
        <v>8833.33</v>
      </c>
      <c r="N6" s="76">
        <v>8833.33</v>
      </c>
      <c r="O6" s="76">
        <v>8833.33</v>
      </c>
      <c r="P6" s="76">
        <v>8833.33</v>
      </c>
      <c r="Q6" s="76">
        <f>SUM(E6:P6)</f>
        <v>105999.96</v>
      </c>
      <c r="R6" s="1" t="s">
        <v>85</v>
      </c>
    </row>
    <row r="7" spans="1:20" x14ac:dyDescent="0.25">
      <c r="A7" s="73" t="s">
        <v>104</v>
      </c>
      <c r="B7" s="1" t="s">
        <v>105</v>
      </c>
      <c r="C7" s="74">
        <v>4510</v>
      </c>
      <c r="D7" s="75">
        <v>45504</v>
      </c>
      <c r="E7" s="76">
        <v>9395.84</v>
      </c>
      <c r="F7" s="76">
        <v>9395.84</v>
      </c>
      <c r="G7" s="76">
        <v>9395.84</v>
      </c>
      <c r="H7" s="76">
        <v>9395.84</v>
      </c>
      <c r="I7" s="76">
        <v>9395.84</v>
      </c>
      <c r="J7" s="76">
        <v>9395.84</v>
      </c>
      <c r="K7" s="76">
        <v>9395.84</v>
      </c>
      <c r="L7" s="76">
        <v>9395.84</v>
      </c>
      <c r="M7" s="76">
        <v>9395.84</v>
      </c>
      <c r="N7" s="76">
        <v>9395.84</v>
      </c>
      <c r="O7" s="76">
        <v>9395.84</v>
      </c>
      <c r="P7" s="76">
        <v>9395.84</v>
      </c>
      <c r="Q7" s="76">
        <f t="shared" ref="Q7:Q11" si="0">SUM(E7:P7)</f>
        <v>112750.07999999997</v>
      </c>
    </row>
    <row r="8" spans="1:20" x14ac:dyDescent="0.25">
      <c r="A8" s="73" t="s">
        <v>106</v>
      </c>
      <c r="B8" s="1" t="s">
        <v>107</v>
      </c>
      <c r="C8" s="74">
        <v>31385</v>
      </c>
      <c r="D8" s="308">
        <v>46934</v>
      </c>
      <c r="E8" s="76">
        <v>25892.63</v>
      </c>
      <c r="F8" s="76">
        <v>25892.63</v>
      </c>
      <c r="G8" s="76">
        <v>25892.63</v>
      </c>
      <c r="H8" s="76">
        <v>25892.63</v>
      </c>
      <c r="I8" s="76">
        <v>25892.63</v>
      </c>
      <c r="J8" s="76">
        <v>25892.63</v>
      </c>
      <c r="K8" s="76">
        <v>27187.26</v>
      </c>
      <c r="L8" s="76">
        <v>27187.26</v>
      </c>
      <c r="M8" s="76">
        <v>27187.26</v>
      </c>
      <c r="N8" s="76">
        <v>27187.26</v>
      </c>
      <c r="O8" s="76">
        <v>27187.26</v>
      </c>
      <c r="P8" s="76">
        <v>27187.26</v>
      </c>
      <c r="Q8" s="76">
        <f t="shared" si="0"/>
        <v>318479.34000000003</v>
      </c>
      <c r="R8" s="44"/>
    </row>
    <row r="9" spans="1:20" x14ac:dyDescent="0.25">
      <c r="A9" s="73" t="s">
        <v>108</v>
      </c>
      <c r="B9" s="1" t="s">
        <v>109</v>
      </c>
      <c r="C9" s="74">
        <v>2715</v>
      </c>
      <c r="D9" s="77">
        <v>45616</v>
      </c>
      <c r="E9" s="76">
        <v>7466.25</v>
      </c>
      <c r="F9" s="76">
        <v>7466.25</v>
      </c>
      <c r="G9" s="76">
        <v>7466.25</v>
      </c>
      <c r="H9" s="76">
        <v>7466.25</v>
      </c>
      <c r="I9" s="76">
        <v>7466.25</v>
      </c>
      <c r="J9" s="76">
        <v>7466.25</v>
      </c>
      <c r="K9" s="76">
        <v>7466.25</v>
      </c>
      <c r="L9" s="76">
        <v>7466.25</v>
      </c>
      <c r="M9" s="76">
        <v>7466.25</v>
      </c>
      <c r="N9" s="76">
        <v>7466.25</v>
      </c>
      <c r="O9" s="76">
        <v>7466.25</v>
      </c>
      <c r="P9" s="76">
        <v>7466.25</v>
      </c>
      <c r="Q9" s="76">
        <f>SUM(E9:P9)</f>
        <v>89595</v>
      </c>
    </row>
    <row r="10" spans="1:20" x14ac:dyDescent="0.25">
      <c r="A10" s="73" t="s">
        <v>110</v>
      </c>
      <c r="B10" s="1" t="s">
        <v>111</v>
      </c>
      <c r="C10" s="74">
        <v>3503</v>
      </c>
      <c r="D10" s="75" t="s">
        <v>85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f t="shared" si="0"/>
        <v>0</v>
      </c>
    </row>
    <row r="11" spans="1:20" ht="60" x14ac:dyDescent="0.25">
      <c r="A11" s="73">
        <v>3321</v>
      </c>
      <c r="B11" s="1" t="s">
        <v>112</v>
      </c>
      <c r="C11" s="74">
        <v>5160</v>
      </c>
      <c r="D11" s="77">
        <v>51074</v>
      </c>
      <c r="E11" s="76">
        <v>10087.799999999999</v>
      </c>
      <c r="F11" s="76">
        <v>10087.799999999999</v>
      </c>
      <c r="G11" s="76">
        <v>10087.799999999999</v>
      </c>
      <c r="H11" s="76">
        <v>10087.799999999999</v>
      </c>
      <c r="I11" s="76">
        <v>10087.799999999999</v>
      </c>
      <c r="J11" s="76">
        <v>10087.799999999999</v>
      </c>
      <c r="K11" s="76">
        <v>10087.799999999999</v>
      </c>
      <c r="L11" s="76">
        <v>10087.799999999999</v>
      </c>
      <c r="M11" s="76">
        <v>10087.799999999999</v>
      </c>
      <c r="N11" s="76">
        <v>10087.799999999999</v>
      </c>
      <c r="O11" s="76">
        <v>10087.799999999999</v>
      </c>
      <c r="P11" s="76">
        <v>10087.799999999999</v>
      </c>
      <c r="Q11" s="76">
        <f t="shared" si="0"/>
        <v>121053.60000000002</v>
      </c>
      <c r="R11" s="78" t="s">
        <v>298</v>
      </c>
    </row>
    <row r="12" spans="1:20" ht="47.25" customHeight="1" x14ac:dyDescent="0.25">
      <c r="A12" s="73">
        <v>3323</v>
      </c>
      <c r="B12" s="1" t="s">
        <v>113</v>
      </c>
      <c r="C12" s="79">
        <v>5300</v>
      </c>
      <c r="D12" s="80">
        <v>46538</v>
      </c>
      <c r="E12" s="81">
        <v>8391.67</v>
      </c>
      <c r="F12" s="81">
        <v>8391.67</v>
      </c>
      <c r="G12" s="81">
        <v>8391.67</v>
      </c>
      <c r="H12" s="81">
        <v>8391.67</v>
      </c>
      <c r="I12" s="81">
        <v>8391.67</v>
      </c>
      <c r="J12" s="82">
        <v>8559.5</v>
      </c>
      <c r="K12" s="82">
        <v>8559.5</v>
      </c>
      <c r="L12" s="82">
        <v>8559.5</v>
      </c>
      <c r="M12" s="82">
        <v>8559.5</v>
      </c>
      <c r="N12" s="82">
        <v>8559.5</v>
      </c>
      <c r="O12" s="82">
        <v>8559.5</v>
      </c>
      <c r="P12" s="82">
        <v>8559.5</v>
      </c>
      <c r="Q12" s="81">
        <f>SUM(E12:P12)</f>
        <v>101874.85</v>
      </c>
      <c r="R12" s="83" t="s">
        <v>299</v>
      </c>
    </row>
    <row r="13" spans="1:20" x14ac:dyDescent="0.25">
      <c r="A13" s="73" t="s">
        <v>85</v>
      </c>
      <c r="B13" s="1" t="s">
        <v>85</v>
      </c>
      <c r="C13" s="74">
        <f>SUM(C6:C12)</f>
        <v>54573</v>
      </c>
      <c r="D13" s="84" t="s">
        <v>85</v>
      </c>
      <c r="E13" s="76" t="s">
        <v>85</v>
      </c>
      <c r="F13" s="76" t="s">
        <v>85</v>
      </c>
      <c r="G13" s="76" t="s">
        <v>85</v>
      </c>
      <c r="H13" s="76" t="s">
        <v>85</v>
      </c>
      <c r="I13" s="76" t="s">
        <v>85</v>
      </c>
      <c r="J13" s="76" t="s">
        <v>85</v>
      </c>
      <c r="K13" s="76" t="s">
        <v>85</v>
      </c>
      <c r="L13" s="76" t="s">
        <v>85</v>
      </c>
      <c r="M13" s="76" t="s">
        <v>85</v>
      </c>
      <c r="N13" s="76" t="s">
        <v>85</v>
      </c>
      <c r="O13" s="76" t="s">
        <v>85</v>
      </c>
      <c r="P13" s="76" t="s">
        <v>85</v>
      </c>
      <c r="Q13" s="76" t="s">
        <v>85</v>
      </c>
    </row>
    <row r="14" spans="1:20" ht="15.75" thickBot="1" x14ac:dyDescent="0.3">
      <c r="A14" s="85" t="s">
        <v>114</v>
      </c>
      <c r="B14" s="86"/>
      <c r="C14" s="86"/>
      <c r="D14" s="87"/>
      <c r="E14" s="88">
        <f>SUM(E6:E12)</f>
        <v>70067.520000000004</v>
      </c>
      <c r="F14" s="88">
        <f>SUM(F6:F12)</f>
        <v>70067.520000000004</v>
      </c>
      <c r="G14" s="88">
        <f>SUM(G6:G12)</f>
        <v>70067.520000000004</v>
      </c>
      <c r="H14" s="88">
        <f t="shared" ref="H14:P14" si="1">SUM(H6:H12)</f>
        <v>70067.520000000004</v>
      </c>
      <c r="I14" s="88">
        <f t="shared" si="1"/>
        <v>70067.520000000004</v>
      </c>
      <c r="J14" s="88">
        <f t="shared" si="1"/>
        <v>70235.350000000006</v>
      </c>
      <c r="K14" s="88">
        <f t="shared" si="1"/>
        <v>71529.98</v>
      </c>
      <c r="L14" s="88">
        <f t="shared" si="1"/>
        <v>71529.98</v>
      </c>
      <c r="M14" s="88">
        <f t="shared" si="1"/>
        <v>71529.98</v>
      </c>
      <c r="N14" s="88">
        <f t="shared" si="1"/>
        <v>71529.98</v>
      </c>
      <c r="O14" s="88">
        <f t="shared" si="1"/>
        <v>71529.98</v>
      </c>
      <c r="P14" s="88">
        <f t="shared" si="1"/>
        <v>71529.98</v>
      </c>
      <c r="Q14" s="88">
        <f>SUM(Q6:Q12)</f>
        <v>849752.83</v>
      </c>
    </row>
    <row r="15" spans="1:20" ht="15.75" thickTop="1" x14ac:dyDescent="0.25">
      <c r="A15" s="73"/>
      <c r="C15" s="89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20" x14ac:dyDescent="0.25">
      <c r="A16" s="73"/>
      <c r="C16" s="74"/>
      <c r="D16" s="77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</row>
    <row r="17" spans="1:18" x14ac:dyDescent="0.25">
      <c r="A17" s="73"/>
      <c r="C17" s="74"/>
      <c r="D17" s="77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8" x14ac:dyDescent="0.25">
      <c r="A18" s="73"/>
      <c r="C18" s="74"/>
      <c r="D18" s="77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8" x14ac:dyDescent="0.25">
      <c r="A19" s="73"/>
      <c r="C19" s="74"/>
      <c r="D19" s="77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</row>
    <row r="20" spans="1:18" x14ac:dyDescent="0.25">
      <c r="A20" s="73"/>
      <c r="C20" s="74"/>
      <c r="D20" s="84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</row>
    <row r="21" spans="1:18" x14ac:dyDescent="0.25">
      <c r="A21" s="73"/>
      <c r="C21" s="74"/>
      <c r="D21" s="77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</row>
    <row r="22" spans="1:18" x14ac:dyDescent="0.25">
      <c r="R22" s="90"/>
    </row>
    <row r="25" spans="1:18" x14ac:dyDescent="0.25">
      <c r="R25" s="90"/>
    </row>
    <row r="26" spans="1:18" x14ac:dyDescent="0.25">
      <c r="A26" s="73"/>
      <c r="D26" s="84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</row>
    <row r="27" spans="1:18" x14ac:dyDescent="0.25">
      <c r="A27" s="73"/>
      <c r="D27" s="84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x14ac:dyDescent="0.25">
      <c r="A28" s="73"/>
      <c r="D28" s="84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</row>
    <row r="29" spans="1:18" x14ac:dyDescent="0.25">
      <c r="A29" s="73"/>
      <c r="D29" s="84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18" x14ac:dyDescent="0.25">
      <c r="A30" s="73"/>
      <c r="D30" s="84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31" spans="1:18" x14ac:dyDescent="0.25">
      <c r="A31" s="73"/>
      <c r="D31" s="84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8" x14ac:dyDescent="0.25">
      <c r="A32" s="73"/>
      <c r="D32" s="84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x14ac:dyDescent="0.25">
      <c r="A33" s="73"/>
      <c r="D33" s="84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x14ac:dyDescent="0.25">
      <c r="A34" s="73"/>
      <c r="D34" s="84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5" spans="1:18" x14ac:dyDescent="0.25">
      <c r="A35" s="73"/>
      <c r="D35" s="84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</row>
    <row r="36" spans="1:18" x14ac:dyDescent="0.25">
      <c r="A36" s="73"/>
      <c r="D36" s="84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</row>
    <row r="37" spans="1:18" x14ac:dyDescent="0.25">
      <c r="A37" s="73"/>
      <c r="D37" s="84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18" x14ac:dyDescent="0.25">
      <c r="A38" s="73"/>
      <c r="D38" s="84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18" x14ac:dyDescent="0.25">
      <c r="A39" s="73"/>
      <c r="D39" s="84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</row>
    <row r="40" spans="1:18" x14ac:dyDescent="0.25">
      <c r="A40" s="73"/>
      <c r="D40" s="84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</row>
    <row r="41" spans="1:18" x14ac:dyDescent="0.25">
      <c r="A41" s="73"/>
      <c r="D41" s="84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</row>
    <row r="42" spans="1:18" x14ac:dyDescent="0.25">
      <c r="A42" s="73"/>
      <c r="D42" s="84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</row>
    <row r="43" spans="1:18" x14ac:dyDescent="0.25">
      <c r="A43" s="73"/>
      <c r="D43" s="84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</row>
    <row r="44" spans="1:18" x14ac:dyDescent="0.25">
      <c r="A44" s="73"/>
      <c r="D44" s="84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spans="1:18" x14ac:dyDescent="0.25">
      <c r="A45" s="73"/>
      <c r="D45" s="84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</row>
    <row r="46" spans="1:18" x14ac:dyDescent="0.25">
      <c r="A46" s="73"/>
      <c r="D46" s="84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</row>
    <row r="47" spans="1:18" x14ac:dyDescent="0.25">
      <c r="A47" s="73"/>
      <c r="D47" s="84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</row>
    <row r="48" spans="1:18" x14ac:dyDescent="0.25">
      <c r="A48" s="73"/>
      <c r="D48" s="84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</row>
    <row r="49" spans="1:18" x14ac:dyDescent="0.25">
      <c r="A49" s="73"/>
      <c r="D49" s="84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</row>
    <row r="50" spans="1:18" x14ac:dyDescent="0.25">
      <c r="A50" s="73"/>
      <c r="D50" s="84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</row>
    <row r="51" spans="1:18" x14ac:dyDescent="0.25">
      <c r="A51" s="73"/>
      <c r="D51" s="84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</row>
    <row r="52" spans="1:18" x14ac:dyDescent="0.25">
      <c r="A52" s="73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</row>
    <row r="53" spans="1:18" x14ac:dyDescent="0.25">
      <c r="A53" s="73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</row>
    <row r="54" spans="1:18" x14ac:dyDescent="0.25">
      <c r="A54" s="73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</row>
    <row r="55" spans="1:18" x14ac:dyDescent="0.25">
      <c r="A55" s="73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</row>
    <row r="56" spans="1:18" x14ac:dyDescent="0.25">
      <c r="A56" s="73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</row>
    <row r="57" spans="1:18" x14ac:dyDescent="0.25">
      <c r="A57" s="73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</row>
    <row r="58" spans="1:18" x14ac:dyDescent="0.25">
      <c r="A58" s="73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</row>
    <row r="59" spans="1:18" x14ac:dyDescent="0.25">
      <c r="A59" s="73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</row>
    <row r="60" spans="1:18" x14ac:dyDescent="0.25">
      <c r="A60" s="73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</row>
    <row r="61" spans="1:18" x14ac:dyDescent="0.25">
      <c r="A61" s="7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</row>
    <row r="62" spans="1:18" x14ac:dyDescent="0.25">
      <c r="A62" s="73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</row>
    <row r="63" spans="1:18" x14ac:dyDescent="0.25">
      <c r="A63" s="73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</row>
    <row r="64" spans="1:18" x14ac:dyDescent="0.25">
      <c r="A64" s="73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</row>
    <row r="65" spans="1:18" x14ac:dyDescent="0.25">
      <c r="A65" s="73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</row>
    <row r="66" spans="1:18" x14ac:dyDescent="0.25">
      <c r="A66" s="73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</row>
    <row r="67" spans="1:18" x14ac:dyDescent="0.25">
      <c r="A67" s="73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</row>
    <row r="68" spans="1:18" x14ac:dyDescent="0.25">
      <c r="A68" s="73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</row>
    <row r="69" spans="1:18" x14ac:dyDescent="0.25">
      <c r="A69" s="73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</row>
    <row r="70" spans="1:18" x14ac:dyDescent="0.25">
      <c r="A70" s="73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</row>
    <row r="71" spans="1:18" x14ac:dyDescent="0.25">
      <c r="A71" s="73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</row>
    <row r="72" spans="1:18" x14ac:dyDescent="0.25">
      <c r="A72" s="73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</row>
    <row r="73" spans="1:18" x14ac:dyDescent="0.25">
      <c r="A73" s="73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</row>
    <row r="74" spans="1:18" x14ac:dyDescent="0.25">
      <c r="A74" s="73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</row>
    <row r="75" spans="1:18" x14ac:dyDescent="0.25">
      <c r="A75" s="73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</row>
    <row r="76" spans="1:18" x14ac:dyDescent="0.25">
      <c r="A76" s="73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</row>
    <row r="77" spans="1:18" x14ac:dyDescent="0.25">
      <c r="A77" s="73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</row>
    <row r="78" spans="1:18" x14ac:dyDescent="0.25">
      <c r="A78" s="73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</row>
    <row r="79" spans="1:18" x14ac:dyDescent="0.25">
      <c r="A79" s="73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</row>
    <row r="80" spans="1:18" x14ac:dyDescent="0.25">
      <c r="A80" s="73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</row>
    <row r="81" spans="1:18" x14ac:dyDescent="0.25">
      <c r="A81" s="73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</row>
    <row r="82" spans="1:18" x14ac:dyDescent="0.25">
      <c r="A82" s="73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</row>
    <row r="83" spans="1:18" x14ac:dyDescent="0.25">
      <c r="A83" s="73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</row>
    <row r="84" spans="1:18" x14ac:dyDescent="0.25">
      <c r="A84" s="73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</row>
    <row r="85" spans="1:18" x14ac:dyDescent="0.25">
      <c r="A85" s="73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</row>
    <row r="86" spans="1:18" x14ac:dyDescent="0.25">
      <c r="A86" s="73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</row>
    <row r="87" spans="1:18" x14ac:dyDescent="0.25">
      <c r="A87" s="73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</row>
    <row r="88" spans="1:18" x14ac:dyDescent="0.25">
      <c r="A88" s="73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</row>
    <row r="89" spans="1:18" x14ac:dyDescent="0.25">
      <c r="A89" s="73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</row>
    <row r="90" spans="1:18" x14ac:dyDescent="0.25">
      <c r="A90" s="73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</row>
    <row r="91" spans="1:18" x14ac:dyDescent="0.25">
      <c r="A91" s="73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</row>
    <row r="92" spans="1:18" x14ac:dyDescent="0.25">
      <c r="A92" s="73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</row>
    <row r="93" spans="1:18" x14ac:dyDescent="0.25">
      <c r="A93" s="73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</row>
    <row r="94" spans="1:18" x14ac:dyDescent="0.25">
      <c r="A94" s="73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</row>
    <row r="95" spans="1:18" x14ac:dyDescent="0.25">
      <c r="A95" s="73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</row>
    <row r="96" spans="1:18" x14ac:dyDescent="0.25">
      <c r="A96" s="73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</row>
    <row r="97" spans="1:18" x14ac:dyDescent="0.25">
      <c r="A97" s="73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</row>
    <row r="98" spans="1:18" x14ac:dyDescent="0.25">
      <c r="A98" s="73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</row>
    <row r="99" spans="1:18" x14ac:dyDescent="0.25">
      <c r="A99" s="73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</row>
    <row r="100" spans="1:18" x14ac:dyDescent="0.25">
      <c r="A100" s="73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</row>
    <row r="101" spans="1:18" x14ac:dyDescent="0.25">
      <c r="A101" s="73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</row>
    <row r="102" spans="1:18" x14ac:dyDescent="0.25">
      <c r="A102" s="73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</row>
    <row r="103" spans="1:18" x14ac:dyDescent="0.25">
      <c r="A103" s="73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</row>
    <row r="104" spans="1:18" x14ac:dyDescent="0.25">
      <c r="A104" s="73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</row>
    <row r="105" spans="1:18" x14ac:dyDescent="0.25">
      <c r="A105" s="73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</row>
    <row r="106" spans="1:18" x14ac:dyDescent="0.25">
      <c r="A106" s="73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</row>
    <row r="107" spans="1:18" x14ac:dyDescent="0.25">
      <c r="A107" s="73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</row>
    <row r="108" spans="1:18" x14ac:dyDescent="0.25">
      <c r="A108" s="73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</row>
    <row r="109" spans="1:18" x14ac:dyDescent="0.25">
      <c r="A109" s="73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</row>
    <row r="110" spans="1:18" x14ac:dyDescent="0.25">
      <c r="A110" s="73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</row>
    <row r="111" spans="1:18" x14ac:dyDescent="0.25">
      <c r="A111" s="73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</row>
    <row r="112" spans="1:18" x14ac:dyDescent="0.25">
      <c r="A112" s="73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</row>
    <row r="113" spans="1:18" x14ac:dyDescent="0.25">
      <c r="A113" s="73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</row>
    <row r="114" spans="1:18" x14ac:dyDescent="0.25">
      <c r="A114" s="73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</row>
    <row r="115" spans="1:18" x14ac:dyDescent="0.25">
      <c r="A115" s="73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</row>
    <row r="116" spans="1:18" x14ac:dyDescent="0.25">
      <c r="A116" s="73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</row>
    <row r="117" spans="1:18" x14ac:dyDescent="0.25">
      <c r="A117" s="73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</row>
    <row r="118" spans="1:18" x14ac:dyDescent="0.25">
      <c r="A118" s="73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</row>
    <row r="119" spans="1:18" x14ac:dyDescent="0.25">
      <c r="A119" s="73"/>
    </row>
    <row r="120" spans="1:18" x14ac:dyDescent="0.25">
      <c r="A120" s="73"/>
    </row>
    <row r="121" spans="1:18" x14ac:dyDescent="0.25">
      <c r="A121" s="73"/>
    </row>
    <row r="122" spans="1:18" x14ac:dyDescent="0.25">
      <c r="A122" s="73"/>
    </row>
    <row r="123" spans="1:18" x14ac:dyDescent="0.25">
      <c r="A123" s="73"/>
    </row>
    <row r="124" spans="1:18" x14ac:dyDescent="0.25">
      <c r="A124" s="73"/>
    </row>
  </sheetData>
  <mergeCells count="1">
    <mergeCell ref="A1:D1"/>
  </mergeCells>
  <pageMargins left="0.7" right="0.7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29D4-42FE-4E99-8044-F4EA196DA8AF}">
  <sheetPr>
    <pageSetUpPr fitToPage="1"/>
  </sheetPr>
  <dimension ref="A1:R37"/>
  <sheetViews>
    <sheetView workbookViewId="0">
      <selection activeCell="H27" sqref="H27"/>
    </sheetView>
  </sheetViews>
  <sheetFormatPr defaultColWidth="8.85546875" defaultRowHeight="15" x14ac:dyDescent="0.25"/>
  <cols>
    <col min="1" max="1" width="8.7109375" style="1" customWidth="1"/>
    <col min="2" max="2" width="22.28515625" style="1" customWidth="1"/>
    <col min="3" max="3" width="11.140625" style="1" customWidth="1"/>
    <col min="4" max="4" width="11.42578125" style="1" customWidth="1"/>
    <col min="5" max="16" width="9.28515625" style="1" customWidth="1"/>
    <col min="17" max="17" width="10.42578125" style="1" customWidth="1"/>
    <col min="18" max="18" width="38.42578125" style="1" customWidth="1"/>
    <col min="19" max="16384" width="8.85546875" style="1"/>
  </cols>
  <sheetData>
    <row r="1" spans="1:18" x14ac:dyDescent="0.25">
      <c r="A1" s="320" t="s">
        <v>356</v>
      </c>
      <c r="B1" s="320"/>
      <c r="C1" s="320"/>
      <c r="D1" s="320"/>
    </row>
    <row r="2" spans="1:18" x14ac:dyDescent="0.25">
      <c r="A2" s="67" t="s">
        <v>176</v>
      </c>
      <c r="B2" s="68"/>
      <c r="C2" s="68"/>
      <c r="D2" s="44" t="s">
        <v>357</v>
      </c>
      <c r="N2" s="1" t="s">
        <v>85</v>
      </c>
    </row>
    <row r="3" spans="1:18" x14ac:dyDescent="0.25">
      <c r="A3" s="68" t="s">
        <v>85</v>
      </c>
      <c r="B3" s="68"/>
      <c r="C3" s="69" t="s">
        <v>85</v>
      </c>
      <c r="N3" s="1" t="s">
        <v>85</v>
      </c>
    </row>
    <row r="5" spans="1:18" x14ac:dyDescent="0.25">
      <c r="A5" s="70" t="s">
        <v>86</v>
      </c>
      <c r="B5" s="70" t="s">
        <v>87</v>
      </c>
      <c r="C5" s="70" t="s">
        <v>88</v>
      </c>
      <c r="D5" s="71" t="s">
        <v>89</v>
      </c>
      <c r="E5" s="71" t="s">
        <v>90</v>
      </c>
      <c r="F5" s="71" t="s">
        <v>91</v>
      </c>
      <c r="G5" s="71" t="s">
        <v>92</v>
      </c>
      <c r="H5" s="71" t="s">
        <v>93</v>
      </c>
      <c r="I5" s="71" t="s">
        <v>94</v>
      </c>
      <c r="J5" s="71" t="s">
        <v>95</v>
      </c>
      <c r="K5" s="71" t="s">
        <v>96</v>
      </c>
      <c r="L5" s="71" t="s">
        <v>97</v>
      </c>
      <c r="M5" s="71" t="s">
        <v>98</v>
      </c>
      <c r="N5" s="71" t="s">
        <v>99</v>
      </c>
      <c r="O5" s="71" t="s">
        <v>100</v>
      </c>
      <c r="P5" s="71" t="s">
        <v>101</v>
      </c>
      <c r="Q5" s="92" t="s">
        <v>102</v>
      </c>
      <c r="R5" s="72" t="s">
        <v>300</v>
      </c>
    </row>
    <row r="6" spans="1:18" x14ac:dyDescent="0.25">
      <c r="A6" s="73">
        <v>3301</v>
      </c>
      <c r="B6" s="1" t="s">
        <v>103</v>
      </c>
      <c r="C6" s="74">
        <v>2000</v>
      </c>
      <c r="D6" s="75">
        <v>45930</v>
      </c>
      <c r="E6" s="76">
        <v>162</v>
      </c>
      <c r="F6" s="76">
        <v>162</v>
      </c>
      <c r="G6" s="76">
        <v>162</v>
      </c>
      <c r="H6" s="76">
        <v>162</v>
      </c>
      <c r="I6" s="76">
        <v>162</v>
      </c>
      <c r="J6" s="76">
        <v>162</v>
      </c>
      <c r="K6" s="76">
        <v>162</v>
      </c>
      <c r="L6" s="76">
        <v>162</v>
      </c>
      <c r="M6" s="76">
        <v>162</v>
      </c>
      <c r="N6" s="76">
        <v>162</v>
      </c>
      <c r="O6" s="76">
        <v>162</v>
      </c>
      <c r="P6" s="76">
        <v>162</v>
      </c>
      <c r="Q6" s="96">
        <f>SUM(E6:P6)</f>
        <v>1944</v>
      </c>
    </row>
    <row r="7" spans="1:18" x14ac:dyDescent="0.25">
      <c r="A7" s="73" t="s">
        <v>104</v>
      </c>
      <c r="B7" s="1" t="s">
        <v>105</v>
      </c>
      <c r="C7" s="74">
        <v>4510</v>
      </c>
      <c r="D7" s="75">
        <v>45504</v>
      </c>
      <c r="E7" s="76">
        <v>1493</v>
      </c>
      <c r="F7" s="76">
        <v>1493</v>
      </c>
      <c r="G7" s="76">
        <v>1493</v>
      </c>
      <c r="H7" s="76">
        <v>1493</v>
      </c>
      <c r="I7" s="76">
        <v>1493</v>
      </c>
      <c r="J7" s="76">
        <v>1493</v>
      </c>
      <c r="K7" s="76">
        <v>1493</v>
      </c>
      <c r="L7" s="76">
        <v>1493</v>
      </c>
      <c r="M7" s="76">
        <v>1493</v>
      </c>
      <c r="N7" s="76">
        <v>1493</v>
      </c>
      <c r="O7" s="76">
        <v>1493</v>
      </c>
      <c r="P7" s="76">
        <v>1493</v>
      </c>
      <c r="Q7" s="97">
        <f>SUM(E7:P7)</f>
        <v>17916</v>
      </c>
      <c r="R7" s="1" t="s">
        <v>177</v>
      </c>
    </row>
    <row r="8" spans="1:18" x14ac:dyDescent="0.25">
      <c r="A8" s="73" t="s">
        <v>106</v>
      </c>
      <c r="B8" s="1" t="s">
        <v>107</v>
      </c>
      <c r="C8" s="74">
        <v>31385</v>
      </c>
      <c r="D8" s="308">
        <v>46934</v>
      </c>
      <c r="E8" s="76">
        <v>3104</v>
      </c>
      <c r="F8" s="76">
        <v>3104</v>
      </c>
      <c r="G8" s="76">
        <v>3104</v>
      </c>
      <c r="H8" s="76">
        <v>3104</v>
      </c>
      <c r="I8" s="76">
        <v>3104</v>
      </c>
      <c r="J8" s="76">
        <v>3104</v>
      </c>
      <c r="K8" s="76">
        <v>3104</v>
      </c>
      <c r="L8" s="76">
        <v>3104</v>
      </c>
      <c r="M8" s="76">
        <v>3104</v>
      </c>
      <c r="N8" s="76">
        <v>3104</v>
      </c>
      <c r="O8" s="76">
        <v>3104</v>
      </c>
      <c r="P8" s="76">
        <v>3104</v>
      </c>
      <c r="Q8" s="97">
        <f t="shared" ref="Q8:Q11" si="0">SUM(E8:P8)</f>
        <v>37248</v>
      </c>
    </row>
    <row r="9" spans="1:18" x14ac:dyDescent="0.25">
      <c r="A9" s="73" t="s">
        <v>108</v>
      </c>
      <c r="B9" s="1" t="s">
        <v>109</v>
      </c>
      <c r="C9" s="74">
        <v>2715</v>
      </c>
      <c r="D9" s="77">
        <v>45616</v>
      </c>
      <c r="E9" s="76">
        <v>383</v>
      </c>
      <c r="F9" s="76">
        <v>383</v>
      </c>
      <c r="G9" s="76">
        <v>383</v>
      </c>
      <c r="H9" s="76">
        <v>383</v>
      </c>
      <c r="I9" s="76">
        <v>383</v>
      </c>
      <c r="J9" s="76">
        <v>383</v>
      </c>
      <c r="K9" s="76">
        <v>383</v>
      </c>
      <c r="L9" s="76">
        <v>383</v>
      </c>
      <c r="M9" s="76">
        <v>383</v>
      </c>
      <c r="N9" s="76">
        <v>383</v>
      </c>
      <c r="O9" s="76">
        <v>383</v>
      </c>
      <c r="P9" s="76">
        <v>383</v>
      </c>
      <c r="Q9" s="97">
        <f t="shared" si="0"/>
        <v>4596</v>
      </c>
    </row>
    <row r="10" spans="1:18" x14ac:dyDescent="0.25">
      <c r="A10" s="73" t="s">
        <v>110</v>
      </c>
      <c r="B10" s="1" t="s">
        <v>111</v>
      </c>
      <c r="C10" s="74">
        <v>3503</v>
      </c>
      <c r="D10" s="75" t="s">
        <v>85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97">
        <f t="shared" si="0"/>
        <v>0</v>
      </c>
    </row>
    <row r="11" spans="1:18" x14ac:dyDescent="0.25">
      <c r="A11" s="73">
        <v>3321</v>
      </c>
      <c r="B11" s="1" t="s">
        <v>112</v>
      </c>
      <c r="C11" s="74">
        <v>5160</v>
      </c>
      <c r="D11" s="77">
        <v>51074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97">
        <f t="shared" si="0"/>
        <v>0</v>
      </c>
      <c r="R11" s="44" t="s">
        <v>178</v>
      </c>
    </row>
    <row r="12" spans="1:18" x14ac:dyDescent="0.25">
      <c r="A12" s="73">
        <v>3323</v>
      </c>
      <c r="B12" s="1" t="s">
        <v>113</v>
      </c>
      <c r="C12" s="79">
        <v>5300</v>
      </c>
      <c r="D12" s="80">
        <v>46538</v>
      </c>
      <c r="E12" s="81">
        <v>715</v>
      </c>
      <c r="F12" s="81">
        <v>715</v>
      </c>
      <c r="G12" s="81">
        <v>715</v>
      </c>
      <c r="H12" s="81">
        <v>715</v>
      </c>
      <c r="I12" s="81">
        <v>715</v>
      </c>
      <c r="J12" s="81">
        <v>715</v>
      </c>
      <c r="K12" s="81">
        <v>715</v>
      </c>
      <c r="L12" s="81">
        <v>715</v>
      </c>
      <c r="M12" s="81">
        <v>715</v>
      </c>
      <c r="N12" s="81">
        <v>715</v>
      </c>
      <c r="O12" s="81">
        <v>715</v>
      </c>
      <c r="P12" s="81">
        <v>715</v>
      </c>
      <c r="Q12" s="98">
        <f>SUM(E12:P12)</f>
        <v>8580</v>
      </c>
    </row>
    <row r="13" spans="1:18" x14ac:dyDescent="0.25">
      <c r="A13" s="73" t="s">
        <v>85</v>
      </c>
      <c r="B13" s="1" t="s">
        <v>85</v>
      </c>
      <c r="C13" s="74">
        <f>SUM(C6:C12)</f>
        <v>54573</v>
      </c>
      <c r="D13" s="84" t="s">
        <v>85</v>
      </c>
      <c r="E13" s="76" t="s">
        <v>85</v>
      </c>
      <c r="F13" s="76" t="s">
        <v>85</v>
      </c>
      <c r="G13" s="76" t="s">
        <v>85</v>
      </c>
      <c r="H13" s="76" t="s">
        <v>85</v>
      </c>
      <c r="I13" s="76" t="s">
        <v>85</v>
      </c>
      <c r="J13" s="76" t="s">
        <v>85</v>
      </c>
      <c r="K13" s="76" t="s">
        <v>85</v>
      </c>
      <c r="L13" s="76" t="s">
        <v>85</v>
      </c>
      <c r="M13" s="76" t="s">
        <v>85</v>
      </c>
      <c r="N13" s="76" t="s">
        <v>85</v>
      </c>
      <c r="O13" s="76" t="s">
        <v>85</v>
      </c>
      <c r="P13" s="76" t="s">
        <v>85</v>
      </c>
      <c r="Q13" s="93" t="s">
        <v>85</v>
      </c>
    </row>
    <row r="14" spans="1:18" x14ac:dyDescent="0.25">
      <c r="A14" s="73"/>
      <c r="C14" s="7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93"/>
      <c r="R14" s="90"/>
    </row>
    <row r="15" spans="1:18" ht="15.75" thickBot="1" x14ac:dyDescent="0.3">
      <c r="A15" s="85" t="s">
        <v>179</v>
      </c>
      <c r="B15" s="86"/>
      <c r="C15" s="86"/>
      <c r="D15" s="87"/>
      <c r="E15" s="94">
        <f>SUM(E6:E12)</f>
        <v>5857</v>
      </c>
      <c r="F15" s="94">
        <f t="shared" ref="F15:P15" si="1">SUM(F6:F12)</f>
        <v>5857</v>
      </c>
      <c r="G15" s="94">
        <f t="shared" si="1"/>
        <v>5857</v>
      </c>
      <c r="H15" s="94">
        <f t="shared" si="1"/>
        <v>5857</v>
      </c>
      <c r="I15" s="94">
        <f t="shared" si="1"/>
        <v>5857</v>
      </c>
      <c r="J15" s="94">
        <f t="shared" si="1"/>
        <v>5857</v>
      </c>
      <c r="K15" s="94">
        <f t="shared" si="1"/>
        <v>5857</v>
      </c>
      <c r="L15" s="94">
        <f t="shared" si="1"/>
        <v>5857</v>
      </c>
      <c r="M15" s="94">
        <f t="shared" si="1"/>
        <v>5857</v>
      </c>
      <c r="N15" s="94">
        <f t="shared" si="1"/>
        <v>5857</v>
      </c>
      <c r="O15" s="94">
        <f t="shared" si="1"/>
        <v>5857</v>
      </c>
      <c r="P15" s="94">
        <f t="shared" si="1"/>
        <v>5857</v>
      </c>
      <c r="Q15" s="95">
        <f>SUM(Q6:Q12)</f>
        <v>70284</v>
      </c>
      <c r="R15" s="90"/>
    </row>
    <row r="16" spans="1:18" ht="15.75" thickTop="1" x14ac:dyDescent="0.25">
      <c r="A16" s="73"/>
      <c r="C16" s="74"/>
      <c r="D16" s="75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</row>
    <row r="17" spans="1:17" x14ac:dyDescent="0.25">
      <c r="A17" s="73"/>
      <c r="C17" s="74"/>
      <c r="D17" s="84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20" spans="1:17" x14ac:dyDescent="0.25">
      <c r="A20" s="73"/>
      <c r="C20" s="74"/>
      <c r="D20" s="75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73"/>
      <c r="C21" s="74"/>
      <c r="D21" s="77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</row>
    <row r="22" spans="1:17" x14ac:dyDescent="0.25">
      <c r="A22" s="73"/>
      <c r="C22" s="74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</row>
    <row r="23" spans="1:17" x14ac:dyDescent="0.25">
      <c r="A23" s="73"/>
      <c r="C23" s="74"/>
      <c r="D23" s="77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</row>
    <row r="24" spans="1:17" x14ac:dyDescent="0.25">
      <c r="A24" s="73"/>
      <c r="C24" s="74"/>
      <c r="D24" s="77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</row>
    <row r="25" spans="1:17" x14ac:dyDescent="0.25">
      <c r="A25" s="73"/>
      <c r="C25" s="74" t="s">
        <v>85</v>
      </c>
      <c r="D25" s="77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</row>
    <row r="26" spans="1:17" x14ac:dyDescent="0.25">
      <c r="A26" s="73"/>
      <c r="C26" s="74"/>
      <c r="D26" s="77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</row>
    <row r="27" spans="1:17" x14ac:dyDescent="0.25">
      <c r="A27" s="73"/>
      <c r="C27" s="74"/>
      <c r="D27" s="84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</row>
    <row r="28" spans="1:17" x14ac:dyDescent="0.25">
      <c r="A28" s="73"/>
      <c r="C28" s="74"/>
      <c r="D28" s="77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</row>
    <row r="29" spans="1:17" x14ac:dyDescent="0.25">
      <c r="A29" s="73"/>
      <c r="C29" s="74"/>
      <c r="D29" s="84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</row>
    <row r="30" spans="1:17" x14ac:dyDescent="0.25">
      <c r="A30" s="73" t="s">
        <v>85</v>
      </c>
      <c r="B30" s="1" t="s">
        <v>85</v>
      </c>
      <c r="C30" s="74" t="s">
        <v>85</v>
      </c>
      <c r="D30" s="84" t="s">
        <v>85</v>
      </c>
      <c r="E30" s="90" t="s">
        <v>85</v>
      </c>
      <c r="F30" s="90" t="s">
        <v>85</v>
      </c>
      <c r="G30" s="90" t="s">
        <v>85</v>
      </c>
      <c r="H30" s="90" t="s">
        <v>85</v>
      </c>
      <c r="I30" s="90" t="s">
        <v>85</v>
      </c>
      <c r="J30" s="90" t="s">
        <v>85</v>
      </c>
      <c r="K30" s="90" t="s">
        <v>85</v>
      </c>
      <c r="L30" s="90" t="s">
        <v>85</v>
      </c>
      <c r="M30" s="90" t="s">
        <v>85</v>
      </c>
      <c r="N30" s="90" t="s">
        <v>85</v>
      </c>
      <c r="O30" s="90" t="s">
        <v>85</v>
      </c>
      <c r="P30" s="90" t="s">
        <v>85</v>
      </c>
      <c r="Q30" s="90" t="s">
        <v>85</v>
      </c>
    </row>
    <row r="33" spans="1:17" x14ac:dyDescent="0.25">
      <c r="A33" s="73"/>
      <c r="C33" s="74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</row>
    <row r="34" spans="1:17" x14ac:dyDescent="0.25">
      <c r="A34" s="73"/>
      <c r="C34" s="74"/>
      <c r="D34" s="84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</row>
    <row r="36" spans="1:17" x14ac:dyDescent="0.25">
      <c r="A36" s="73"/>
      <c r="D36" s="84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</row>
    <row r="37" spans="1:17" x14ac:dyDescent="0.25">
      <c r="A37" s="73"/>
      <c r="D37" s="84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</row>
  </sheetData>
  <mergeCells count="1">
    <mergeCell ref="A1:D1"/>
  </mergeCells>
  <pageMargins left="0.7" right="0.7" top="0.75" bottom="0.75" header="0.3" footer="0.3"/>
  <pageSetup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961-E188-4E2D-A4DF-68A944D1ACA1}">
  <sheetPr>
    <pageSetUpPr fitToPage="1"/>
  </sheetPr>
  <dimension ref="A1:R17"/>
  <sheetViews>
    <sheetView workbookViewId="0">
      <selection activeCell="S10" sqref="S10"/>
    </sheetView>
  </sheetViews>
  <sheetFormatPr defaultColWidth="8.85546875" defaultRowHeight="15" x14ac:dyDescent="0.25"/>
  <cols>
    <col min="1" max="1" width="8.85546875" style="1" customWidth="1"/>
    <col min="2" max="2" width="22.28515625" style="1" customWidth="1"/>
    <col min="3" max="3" width="11.140625" style="1" customWidth="1"/>
    <col min="4" max="4" width="11.42578125" style="1" customWidth="1"/>
    <col min="5" max="16" width="8.42578125" style="1" customWidth="1"/>
    <col min="17" max="17" width="9.42578125" style="1" customWidth="1"/>
    <col min="18" max="18" width="16" style="1" customWidth="1"/>
    <col min="19" max="16384" width="8.85546875" style="1"/>
  </cols>
  <sheetData>
    <row r="1" spans="1:18" x14ac:dyDescent="0.25">
      <c r="A1" s="320" t="s">
        <v>356</v>
      </c>
      <c r="B1" s="320"/>
      <c r="C1" s="320"/>
      <c r="D1" s="320"/>
    </row>
    <row r="2" spans="1:18" x14ac:dyDescent="0.25">
      <c r="A2" s="67" t="s">
        <v>180</v>
      </c>
      <c r="B2" s="68"/>
      <c r="C2" s="68"/>
      <c r="F2" s="91"/>
      <c r="G2" s="91" t="s">
        <v>181</v>
      </c>
      <c r="H2" s="91"/>
      <c r="M2" s="1" t="s">
        <v>85</v>
      </c>
      <c r="N2" s="1" t="s">
        <v>85</v>
      </c>
    </row>
    <row r="3" spans="1:18" x14ac:dyDescent="0.25">
      <c r="A3" s="68" t="s">
        <v>85</v>
      </c>
      <c r="B3" s="69" t="s">
        <v>85</v>
      </c>
      <c r="C3" s="68"/>
      <c r="D3" s="44" t="s">
        <v>358</v>
      </c>
      <c r="M3" s="1" t="s">
        <v>85</v>
      </c>
    </row>
    <row r="5" spans="1:18" x14ac:dyDescent="0.25">
      <c r="A5" s="70" t="s">
        <v>86</v>
      </c>
      <c r="B5" s="70" t="s">
        <v>87</v>
      </c>
      <c r="C5" s="70" t="s">
        <v>88</v>
      </c>
      <c r="D5" s="71" t="s">
        <v>89</v>
      </c>
      <c r="E5" s="71" t="s">
        <v>90</v>
      </c>
      <c r="F5" s="71" t="s">
        <v>91</v>
      </c>
      <c r="G5" s="71" t="s">
        <v>92</v>
      </c>
      <c r="H5" s="71" t="s">
        <v>93</v>
      </c>
      <c r="I5" s="71" t="s">
        <v>94</v>
      </c>
      <c r="J5" s="71" t="s">
        <v>95</v>
      </c>
      <c r="K5" s="71" t="s">
        <v>96</v>
      </c>
      <c r="L5" s="71" t="s">
        <v>97</v>
      </c>
      <c r="M5" s="71" t="s">
        <v>98</v>
      </c>
      <c r="N5" s="71" t="s">
        <v>99</v>
      </c>
      <c r="O5" s="71" t="s">
        <v>100</v>
      </c>
      <c r="P5" s="71" t="s">
        <v>101</v>
      </c>
      <c r="Q5" s="92" t="s">
        <v>102</v>
      </c>
      <c r="R5" s="72" t="s">
        <v>300</v>
      </c>
    </row>
    <row r="6" spans="1:18" x14ac:dyDescent="0.25">
      <c r="A6" s="73">
        <v>3301</v>
      </c>
      <c r="B6" s="91" t="s">
        <v>103</v>
      </c>
      <c r="C6" s="74">
        <v>2000</v>
      </c>
      <c r="D6" s="75">
        <v>45930</v>
      </c>
      <c r="E6" s="76">
        <v>569.1</v>
      </c>
      <c r="F6" s="76">
        <v>569.1</v>
      </c>
      <c r="G6" s="76">
        <v>569.1</v>
      </c>
      <c r="H6" s="76">
        <v>569.1</v>
      </c>
      <c r="I6" s="76">
        <v>569.1</v>
      </c>
      <c r="J6" s="76">
        <v>569.1</v>
      </c>
      <c r="K6" s="76">
        <v>569.1</v>
      </c>
      <c r="L6" s="76">
        <v>569.1</v>
      </c>
      <c r="M6" s="76">
        <v>569.1</v>
      </c>
      <c r="N6" s="76">
        <v>569.1</v>
      </c>
      <c r="O6" s="76">
        <v>569.1</v>
      </c>
      <c r="P6" s="76">
        <v>569.1</v>
      </c>
      <c r="Q6" s="97">
        <f>SUM(E6:P6)</f>
        <v>6829.2000000000016</v>
      </c>
    </row>
    <row r="7" spans="1:18" x14ac:dyDescent="0.25">
      <c r="A7" s="73" t="s">
        <v>104</v>
      </c>
      <c r="B7" s="1" t="s">
        <v>105</v>
      </c>
      <c r="C7" s="74">
        <v>4510</v>
      </c>
      <c r="D7" s="75">
        <v>45504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97">
        <f t="shared" ref="Q7:Q10" si="0">SUM(E7:P7)</f>
        <v>0</v>
      </c>
    </row>
    <row r="8" spans="1:18" x14ac:dyDescent="0.25">
      <c r="A8" s="73" t="s">
        <v>106</v>
      </c>
      <c r="B8" s="1" t="s">
        <v>107</v>
      </c>
      <c r="C8" s="74">
        <v>31385</v>
      </c>
      <c r="D8" s="308">
        <v>46934</v>
      </c>
      <c r="E8" s="76">
        <v>3087</v>
      </c>
      <c r="F8" s="76">
        <v>3087</v>
      </c>
      <c r="G8" s="76">
        <v>3087</v>
      </c>
      <c r="H8" s="76">
        <v>3087</v>
      </c>
      <c r="I8" s="76">
        <v>3087</v>
      </c>
      <c r="J8" s="76">
        <v>3087</v>
      </c>
      <c r="K8" s="76">
        <v>3087</v>
      </c>
      <c r="L8" s="76">
        <v>3087</v>
      </c>
      <c r="M8" s="76">
        <v>3087</v>
      </c>
      <c r="N8" s="76">
        <v>3087</v>
      </c>
      <c r="O8" s="76">
        <v>3087</v>
      </c>
      <c r="P8" s="76">
        <v>3087</v>
      </c>
      <c r="Q8" s="97">
        <f t="shared" si="0"/>
        <v>37044</v>
      </c>
    </row>
    <row r="9" spans="1:18" x14ac:dyDescent="0.25">
      <c r="A9" s="73" t="s">
        <v>108</v>
      </c>
      <c r="B9" s="1" t="s">
        <v>109</v>
      </c>
      <c r="C9" s="74">
        <v>2715</v>
      </c>
      <c r="D9" s="77">
        <v>45616</v>
      </c>
      <c r="E9" s="76">
        <v>267</v>
      </c>
      <c r="F9" s="76">
        <v>267</v>
      </c>
      <c r="G9" s="76">
        <v>267</v>
      </c>
      <c r="H9" s="76">
        <v>267</v>
      </c>
      <c r="I9" s="76">
        <v>267</v>
      </c>
      <c r="J9" s="76">
        <v>267</v>
      </c>
      <c r="K9" s="76">
        <v>267</v>
      </c>
      <c r="L9" s="76">
        <v>267</v>
      </c>
      <c r="M9" s="76">
        <v>267</v>
      </c>
      <c r="N9" s="76">
        <v>267</v>
      </c>
      <c r="O9" s="76">
        <v>267</v>
      </c>
      <c r="P9" s="76">
        <v>267</v>
      </c>
      <c r="Q9" s="97">
        <f t="shared" si="0"/>
        <v>3204</v>
      </c>
    </row>
    <row r="10" spans="1:18" x14ac:dyDescent="0.25">
      <c r="A10" s="73" t="s">
        <v>110</v>
      </c>
      <c r="B10" s="1" t="s">
        <v>111</v>
      </c>
      <c r="C10" s="74">
        <v>3503</v>
      </c>
      <c r="D10" s="75" t="s">
        <v>85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97">
        <f t="shared" si="0"/>
        <v>0</v>
      </c>
    </row>
    <row r="11" spans="1:18" x14ac:dyDescent="0.25">
      <c r="A11" s="73">
        <v>3321</v>
      </c>
      <c r="B11" s="91" t="s">
        <v>112</v>
      </c>
      <c r="C11" s="74">
        <v>5160</v>
      </c>
      <c r="D11" s="77">
        <v>51074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97">
        <f>SUM(E11:P11)</f>
        <v>0</v>
      </c>
    </row>
    <row r="12" spans="1:18" x14ac:dyDescent="0.25">
      <c r="A12" s="73">
        <v>3323</v>
      </c>
      <c r="B12" s="1" t="s">
        <v>113</v>
      </c>
      <c r="C12" s="79">
        <v>5300</v>
      </c>
      <c r="D12" s="80">
        <v>46538</v>
      </c>
      <c r="E12" s="81">
        <v>591</v>
      </c>
      <c r="F12" s="81">
        <v>591</v>
      </c>
      <c r="G12" s="81">
        <v>591</v>
      </c>
      <c r="H12" s="81">
        <v>591</v>
      </c>
      <c r="I12" s="81">
        <v>591</v>
      </c>
      <c r="J12" s="81">
        <v>591</v>
      </c>
      <c r="K12" s="81">
        <v>591</v>
      </c>
      <c r="L12" s="81">
        <v>591</v>
      </c>
      <c r="M12" s="81">
        <v>591</v>
      </c>
      <c r="N12" s="81">
        <v>591</v>
      </c>
      <c r="O12" s="81">
        <v>591</v>
      </c>
      <c r="P12" s="81">
        <v>591</v>
      </c>
      <c r="Q12" s="98">
        <f>SUM(E12:P12)</f>
        <v>7092</v>
      </c>
      <c r="R12" s="90"/>
    </row>
    <row r="13" spans="1:18" x14ac:dyDescent="0.25">
      <c r="A13" s="73" t="s">
        <v>85</v>
      </c>
      <c r="B13" s="1" t="s">
        <v>85</v>
      </c>
      <c r="C13" s="74">
        <f>SUM(C6:C12)</f>
        <v>54573</v>
      </c>
      <c r="D13" s="84" t="s">
        <v>85</v>
      </c>
      <c r="E13" s="76" t="s">
        <v>85</v>
      </c>
      <c r="F13" s="76" t="s">
        <v>85</v>
      </c>
      <c r="G13" s="76" t="s">
        <v>85</v>
      </c>
      <c r="H13" s="76" t="s">
        <v>85</v>
      </c>
      <c r="I13" s="76" t="s">
        <v>85</v>
      </c>
      <c r="J13" s="76" t="s">
        <v>85</v>
      </c>
      <c r="K13" s="76" t="s">
        <v>85</v>
      </c>
      <c r="L13" s="76" t="s">
        <v>85</v>
      </c>
      <c r="M13" s="76" t="s">
        <v>85</v>
      </c>
      <c r="N13" s="76" t="s">
        <v>85</v>
      </c>
      <c r="O13" s="76" t="s">
        <v>85</v>
      </c>
      <c r="P13" s="76" t="s">
        <v>85</v>
      </c>
      <c r="Q13" s="76" t="s">
        <v>85</v>
      </c>
      <c r="R13" s="90"/>
    </row>
    <row r="14" spans="1:18" x14ac:dyDescent="0.25">
      <c r="A14" s="73"/>
      <c r="C14" s="7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 ht="15.75" thickBot="1" x14ac:dyDescent="0.3">
      <c r="A15" s="85" t="s">
        <v>182</v>
      </c>
      <c r="B15" s="86"/>
      <c r="C15" s="86"/>
      <c r="D15" s="87"/>
      <c r="E15" s="94">
        <f>SUM(E6:E12)</f>
        <v>4514.1000000000004</v>
      </c>
      <c r="F15" s="94">
        <f>SUM(F6:F12)</f>
        <v>4514.1000000000004</v>
      </c>
      <c r="G15" s="94">
        <f>SUM(G6:G12)</f>
        <v>4514.1000000000004</v>
      </c>
      <c r="H15" s="94">
        <f>SUM(H6:H12)</f>
        <v>4514.1000000000004</v>
      </c>
      <c r="I15" s="94">
        <f t="shared" ref="I15:Q15" si="1">SUM(I6:I12)</f>
        <v>4514.1000000000004</v>
      </c>
      <c r="J15" s="94">
        <f t="shared" si="1"/>
        <v>4514.1000000000004</v>
      </c>
      <c r="K15" s="94">
        <f t="shared" si="1"/>
        <v>4514.1000000000004</v>
      </c>
      <c r="L15" s="94">
        <f t="shared" si="1"/>
        <v>4514.1000000000004</v>
      </c>
      <c r="M15" s="94">
        <f t="shared" si="1"/>
        <v>4514.1000000000004</v>
      </c>
      <c r="N15" s="94">
        <f t="shared" si="1"/>
        <v>4514.1000000000004</v>
      </c>
      <c r="O15" s="94">
        <f t="shared" si="1"/>
        <v>4514.1000000000004</v>
      </c>
      <c r="P15" s="94">
        <f t="shared" si="1"/>
        <v>4514.1000000000004</v>
      </c>
      <c r="Q15" s="95">
        <f t="shared" si="1"/>
        <v>54169.200000000004</v>
      </c>
    </row>
    <row r="16" spans="1:18" ht="15.75" thickTop="1" x14ac:dyDescent="0.25">
      <c r="A16" s="73"/>
      <c r="C16" s="74"/>
      <c r="D16" s="75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</row>
    <row r="17" spans="1:17" x14ac:dyDescent="0.25">
      <c r="A17" s="73"/>
      <c r="C17" s="74"/>
      <c r="D17" s="84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</sheetData>
  <mergeCells count="1">
    <mergeCell ref="A1:D1"/>
  </mergeCells>
  <pageMargins left="0.7" right="0.7" top="0.75" bottom="0.75" header="0.3" footer="0.3"/>
  <pageSetup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6D0A2-94EC-4614-BFEF-E64C07476494}">
  <sheetPr>
    <pageSetUpPr fitToPage="1"/>
  </sheetPr>
  <dimension ref="A1:R20"/>
  <sheetViews>
    <sheetView workbookViewId="0">
      <selection activeCell="T13" sqref="T13"/>
    </sheetView>
  </sheetViews>
  <sheetFormatPr defaultColWidth="8.85546875" defaultRowHeight="15" x14ac:dyDescent="0.25"/>
  <cols>
    <col min="1" max="1" width="8.85546875" style="1" customWidth="1"/>
    <col min="2" max="2" width="22.28515625" style="1" customWidth="1"/>
    <col min="3" max="3" width="11.140625" style="1" customWidth="1"/>
    <col min="4" max="4" width="11.42578125" style="1" customWidth="1"/>
    <col min="5" max="16" width="8.140625" style="1" customWidth="1"/>
    <col min="17" max="17" width="10.7109375" style="1" customWidth="1"/>
    <col min="18" max="18" width="19.85546875" style="1" customWidth="1"/>
    <col min="19" max="23" width="8.85546875" style="1"/>
    <col min="24" max="24" width="13.42578125" style="1" customWidth="1"/>
    <col min="25" max="25" width="17.140625" style="1" customWidth="1"/>
    <col min="26" max="16384" width="8.85546875" style="1"/>
  </cols>
  <sheetData>
    <row r="1" spans="1:18" x14ac:dyDescent="0.25">
      <c r="A1" s="320" t="s">
        <v>356</v>
      </c>
      <c r="B1" s="320"/>
      <c r="C1" s="320"/>
      <c r="D1" s="320"/>
    </row>
    <row r="2" spans="1:18" x14ac:dyDescent="0.25">
      <c r="A2" s="67" t="s">
        <v>183</v>
      </c>
      <c r="B2" s="68"/>
      <c r="C2" s="68"/>
      <c r="F2" s="91"/>
      <c r="G2" s="91" t="s">
        <v>181</v>
      </c>
      <c r="H2" s="91"/>
      <c r="M2" s="1" t="s">
        <v>85</v>
      </c>
      <c r="N2" s="1" t="s">
        <v>85</v>
      </c>
    </row>
    <row r="3" spans="1:18" x14ac:dyDescent="0.25">
      <c r="A3" s="68" t="s">
        <v>85</v>
      </c>
      <c r="B3" s="69"/>
      <c r="C3" s="68"/>
      <c r="D3" s="44" t="s">
        <v>359</v>
      </c>
      <c r="M3" s="1" t="s">
        <v>85</v>
      </c>
    </row>
    <row r="5" spans="1:18" x14ac:dyDescent="0.25">
      <c r="A5" s="70" t="s">
        <v>86</v>
      </c>
      <c r="B5" s="70" t="s">
        <v>87</v>
      </c>
      <c r="C5" s="70" t="s">
        <v>88</v>
      </c>
      <c r="D5" s="71" t="s">
        <v>89</v>
      </c>
      <c r="E5" s="71" t="s">
        <v>90</v>
      </c>
      <c r="F5" s="71" t="s">
        <v>91</v>
      </c>
      <c r="G5" s="71" t="s">
        <v>92</v>
      </c>
      <c r="H5" s="71" t="s">
        <v>93</v>
      </c>
      <c r="I5" s="71" t="s">
        <v>94</v>
      </c>
      <c r="J5" s="71" t="s">
        <v>95</v>
      </c>
      <c r="K5" s="71" t="s">
        <v>96</v>
      </c>
      <c r="L5" s="71" t="s">
        <v>97</v>
      </c>
      <c r="M5" s="71" t="s">
        <v>98</v>
      </c>
      <c r="N5" s="71" t="s">
        <v>99</v>
      </c>
      <c r="O5" s="71" t="s">
        <v>100</v>
      </c>
      <c r="P5" s="71" t="s">
        <v>101</v>
      </c>
      <c r="Q5" s="92" t="s">
        <v>102</v>
      </c>
      <c r="R5" s="72" t="s">
        <v>300</v>
      </c>
    </row>
    <row r="6" spans="1:18" x14ac:dyDescent="0.25">
      <c r="A6" s="73">
        <v>3301</v>
      </c>
      <c r="B6" s="91" t="s">
        <v>103</v>
      </c>
      <c r="C6" s="74">
        <v>2000</v>
      </c>
      <c r="D6" s="75">
        <v>45930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97">
        <f>SUM(E6:P6)</f>
        <v>0</v>
      </c>
    </row>
    <row r="7" spans="1:18" x14ac:dyDescent="0.25">
      <c r="A7" s="73" t="s">
        <v>104</v>
      </c>
      <c r="B7" s="1" t="s">
        <v>105</v>
      </c>
      <c r="C7" s="74">
        <v>4510</v>
      </c>
      <c r="D7" s="75">
        <v>45504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97">
        <f t="shared" ref="Q7:Q11" si="0">SUM(E7:P7)</f>
        <v>0</v>
      </c>
    </row>
    <row r="8" spans="1:18" x14ac:dyDescent="0.25">
      <c r="A8" s="73" t="s">
        <v>106</v>
      </c>
      <c r="B8" s="1" t="s">
        <v>107</v>
      </c>
      <c r="C8" s="74">
        <v>31385</v>
      </c>
      <c r="D8" s="308">
        <v>46934</v>
      </c>
      <c r="E8" s="76">
        <v>1555</v>
      </c>
      <c r="F8" s="76">
        <v>1555</v>
      </c>
      <c r="G8" s="76">
        <v>1555</v>
      </c>
      <c r="H8" s="76">
        <v>1555</v>
      </c>
      <c r="I8" s="76">
        <v>1555</v>
      </c>
      <c r="J8" s="76">
        <v>1555</v>
      </c>
      <c r="K8" s="76">
        <v>1555</v>
      </c>
      <c r="L8" s="76">
        <v>1555</v>
      </c>
      <c r="M8" s="76">
        <v>1555</v>
      </c>
      <c r="N8" s="76">
        <v>1555</v>
      </c>
      <c r="O8" s="76">
        <v>1555</v>
      </c>
      <c r="P8" s="76">
        <v>1555</v>
      </c>
      <c r="Q8" s="97">
        <f t="shared" si="0"/>
        <v>18660</v>
      </c>
    </row>
    <row r="9" spans="1:18" x14ac:dyDescent="0.25">
      <c r="A9" s="73" t="s">
        <v>108</v>
      </c>
      <c r="B9" s="1" t="s">
        <v>109</v>
      </c>
      <c r="C9" s="74">
        <v>2715</v>
      </c>
      <c r="D9" s="77">
        <v>45616</v>
      </c>
      <c r="E9" s="76">
        <v>135</v>
      </c>
      <c r="F9" s="76">
        <v>135</v>
      </c>
      <c r="G9" s="76">
        <v>135</v>
      </c>
      <c r="H9" s="76">
        <v>135</v>
      </c>
      <c r="I9" s="76">
        <v>135</v>
      </c>
      <c r="J9" s="76">
        <v>135</v>
      </c>
      <c r="K9" s="76">
        <v>135</v>
      </c>
      <c r="L9" s="76">
        <v>135</v>
      </c>
      <c r="M9" s="76">
        <v>135</v>
      </c>
      <c r="N9" s="76">
        <v>135</v>
      </c>
      <c r="O9" s="76">
        <v>135</v>
      </c>
      <c r="P9" s="76">
        <v>135</v>
      </c>
      <c r="Q9" s="97">
        <f t="shared" si="0"/>
        <v>1620</v>
      </c>
    </row>
    <row r="10" spans="1:18" x14ac:dyDescent="0.25">
      <c r="A10" s="73" t="s">
        <v>110</v>
      </c>
      <c r="B10" s="1" t="s">
        <v>111</v>
      </c>
      <c r="C10" s="74">
        <v>3503</v>
      </c>
      <c r="D10" s="75" t="s">
        <v>85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97">
        <f t="shared" si="0"/>
        <v>0</v>
      </c>
    </row>
    <row r="11" spans="1:18" x14ac:dyDescent="0.25">
      <c r="A11" s="73">
        <v>3321</v>
      </c>
      <c r="B11" s="91" t="s">
        <v>112</v>
      </c>
      <c r="C11" s="74">
        <v>5160</v>
      </c>
      <c r="D11" s="77">
        <v>51074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97">
        <f t="shared" si="0"/>
        <v>0</v>
      </c>
    </row>
    <row r="12" spans="1:18" x14ac:dyDescent="0.25">
      <c r="A12" s="73">
        <v>3323</v>
      </c>
      <c r="B12" s="1" t="s">
        <v>113</v>
      </c>
      <c r="C12" s="79">
        <v>5300</v>
      </c>
      <c r="D12" s="80">
        <v>46538</v>
      </c>
      <c r="E12" s="81">
        <v>263</v>
      </c>
      <c r="F12" s="81">
        <v>263</v>
      </c>
      <c r="G12" s="81">
        <v>263</v>
      </c>
      <c r="H12" s="81">
        <v>263</v>
      </c>
      <c r="I12" s="81">
        <v>263</v>
      </c>
      <c r="J12" s="81">
        <v>263</v>
      </c>
      <c r="K12" s="81">
        <v>263</v>
      </c>
      <c r="L12" s="81">
        <v>263</v>
      </c>
      <c r="M12" s="81">
        <v>263</v>
      </c>
      <c r="N12" s="81">
        <v>263</v>
      </c>
      <c r="O12" s="81">
        <v>263</v>
      </c>
      <c r="P12" s="81">
        <v>263</v>
      </c>
      <c r="Q12" s="98">
        <f>SUM(E12:P12)</f>
        <v>3156</v>
      </c>
      <c r="R12" s="90"/>
    </row>
    <row r="13" spans="1:18" x14ac:dyDescent="0.25">
      <c r="A13" s="73" t="s">
        <v>85</v>
      </c>
      <c r="B13" s="1" t="s">
        <v>85</v>
      </c>
      <c r="C13" s="74">
        <f>SUM(C6:C12)</f>
        <v>54573</v>
      </c>
      <c r="D13" s="84" t="s">
        <v>85</v>
      </c>
      <c r="E13" s="76" t="s">
        <v>85</v>
      </c>
      <c r="F13" s="76" t="s">
        <v>85</v>
      </c>
      <c r="G13" s="76" t="s">
        <v>85</v>
      </c>
      <c r="H13" s="76" t="s">
        <v>85</v>
      </c>
      <c r="I13" s="76" t="s">
        <v>85</v>
      </c>
      <c r="J13" s="76" t="s">
        <v>85</v>
      </c>
      <c r="K13" s="76" t="s">
        <v>85</v>
      </c>
      <c r="L13" s="76" t="s">
        <v>85</v>
      </c>
      <c r="M13" s="76" t="s">
        <v>85</v>
      </c>
      <c r="N13" s="76" t="s">
        <v>85</v>
      </c>
      <c r="O13" s="76" t="s">
        <v>85</v>
      </c>
      <c r="P13" s="76" t="s">
        <v>85</v>
      </c>
      <c r="Q13" s="76" t="s">
        <v>85</v>
      </c>
      <c r="R13" s="90"/>
    </row>
    <row r="14" spans="1:18" x14ac:dyDescent="0.25">
      <c r="A14" s="73"/>
      <c r="C14" s="7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 ht="15.75" thickBot="1" x14ac:dyDescent="0.3">
      <c r="A15" s="85" t="s">
        <v>184</v>
      </c>
      <c r="B15" s="86"/>
      <c r="C15" s="86"/>
      <c r="D15" s="87"/>
      <c r="E15" s="94">
        <f>SUM(E6:E12)</f>
        <v>1953</v>
      </c>
      <c r="F15" s="94">
        <f t="shared" ref="F15:P15" si="1">SUM(F6:F12)</f>
        <v>1953</v>
      </c>
      <c r="G15" s="94">
        <f t="shared" si="1"/>
        <v>1953</v>
      </c>
      <c r="H15" s="94">
        <f t="shared" si="1"/>
        <v>1953</v>
      </c>
      <c r="I15" s="94">
        <f t="shared" si="1"/>
        <v>1953</v>
      </c>
      <c r="J15" s="94">
        <f t="shared" si="1"/>
        <v>1953</v>
      </c>
      <c r="K15" s="94">
        <f t="shared" si="1"/>
        <v>1953</v>
      </c>
      <c r="L15" s="94">
        <f t="shared" si="1"/>
        <v>1953</v>
      </c>
      <c r="M15" s="94">
        <f t="shared" si="1"/>
        <v>1953</v>
      </c>
      <c r="N15" s="94">
        <f t="shared" si="1"/>
        <v>1953</v>
      </c>
      <c r="O15" s="94">
        <f t="shared" si="1"/>
        <v>1953</v>
      </c>
      <c r="P15" s="94">
        <f t="shared" si="1"/>
        <v>1953</v>
      </c>
      <c r="Q15" s="95">
        <f>SUM(Q6:Q12)</f>
        <v>23436</v>
      </c>
    </row>
    <row r="16" spans="1:18" ht="15.75" thickTop="1" x14ac:dyDescent="0.25">
      <c r="A16" s="73"/>
      <c r="C16" s="74"/>
      <c r="D16" s="75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3"/>
      <c r="C17" s="74"/>
      <c r="D17" s="77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3"/>
      <c r="C18" s="74"/>
      <c r="D18" s="77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73"/>
      <c r="C19" s="74"/>
      <c r="D19" s="84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x14ac:dyDescent="0.25">
      <c r="A20" s="73"/>
      <c r="C20" s="74"/>
      <c r="D20" s="84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</sheetData>
  <mergeCells count="1">
    <mergeCell ref="A1:D1"/>
  </mergeCells>
  <pageMargins left="0.7" right="0.7" top="0.75" bottom="0.75" header="0.3" footer="0.3"/>
  <pageSetup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8917-A50B-4156-A146-77D82EFFEC03}">
  <sheetPr>
    <tabColor theme="2" tint="-9.9978637043366805E-2"/>
    <pageSetUpPr fitToPage="1"/>
  </sheetPr>
  <dimension ref="A1:R63"/>
  <sheetViews>
    <sheetView topLeftCell="A2" workbookViewId="0">
      <selection activeCell="D38" sqref="D38"/>
    </sheetView>
  </sheetViews>
  <sheetFormatPr defaultColWidth="9.140625" defaultRowHeight="15" x14ac:dyDescent="0.25"/>
  <cols>
    <col min="1" max="1" width="28.7109375" style="100" customWidth="1"/>
    <col min="2" max="2" width="17.42578125" style="100" customWidth="1"/>
    <col min="3" max="3" width="8.85546875" style="100" customWidth="1"/>
    <col min="4" max="4" width="12.42578125" style="100" customWidth="1"/>
    <col min="5" max="5" width="9.7109375" style="100" customWidth="1"/>
    <col min="6" max="6" width="3.7109375" style="100" customWidth="1"/>
    <col min="7" max="7" width="12.28515625" style="100" customWidth="1"/>
    <col min="8" max="8" width="11" style="100" customWidth="1"/>
    <col min="9" max="9" width="3.7109375" style="100" customWidth="1"/>
    <col min="10" max="10" width="13" style="100" customWidth="1"/>
    <col min="11" max="11" width="12" style="100" customWidth="1"/>
    <col min="12" max="12" width="2.7109375" style="100" customWidth="1"/>
    <col min="13" max="13" width="12.28515625" style="100" customWidth="1"/>
    <col min="14" max="14" width="11.140625" style="100" customWidth="1"/>
    <col min="15" max="15" width="2.7109375" style="100" customWidth="1"/>
    <col min="16" max="16" width="12.42578125" style="100" customWidth="1"/>
    <col min="17" max="17" width="9.28515625" style="100" customWidth="1"/>
    <col min="18" max="18" width="30.140625" style="100" customWidth="1"/>
    <col min="19" max="16384" width="9.140625" style="100"/>
  </cols>
  <sheetData>
    <row r="1" spans="1:18" x14ac:dyDescent="0.25">
      <c r="A1" s="99" t="s">
        <v>115</v>
      </c>
    </row>
    <row r="2" spans="1:18" ht="49.5" customHeight="1" x14ac:dyDescent="0.25">
      <c r="A2" s="99" t="s">
        <v>116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18" x14ac:dyDescent="0.25">
      <c r="A3" s="99" t="s">
        <v>363</v>
      </c>
      <c r="D3" s="151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8" ht="43.5" x14ac:dyDescent="0.25">
      <c r="A4" s="101" t="s">
        <v>85</v>
      </c>
      <c r="B4" s="102" t="s">
        <v>365</v>
      </c>
      <c r="C4" s="103"/>
      <c r="D4" s="104"/>
      <c r="E4" s="104"/>
      <c r="F4" s="104"/>
      <c r="G4" s="104"/>
      <c r="H4" s="104"/>
      <c r="I4" s="99"/>
      <c r="J4" s="104"/>
      <c r="K4" s="104"/>
      <c r="L4" s="104"/>
      <c r="M4" s="104"/>
      <c r="N4" s="104"/>
      <c r="O4" s="99"/>
    </row>
    <row r="5" spans="1:18" x14ac:dyDescent="0.25">
      <c r="A5" s="99"/>
      <c r="B5" s="105" t="s">
        <v>117</v>
      </c>
      <c r="C5" s="103"/>
      <c r="D5" s="132" t="s">
        <v>109</v>
      </c>
      <c r="E5" s="104"/>
      <c r="F5" s="104"/>
      <c r="G5" s="138" t="s">
        <v>118</v>
      </c>
      <c r="H5" s="106"/>
      <c r="I5" s="99"/>
      <c r="J5" s="134" t="s">
        <v>103</v>
      </c>
      <c r="K5" s="104"/>
      <c r="L5" s="104"/>
      <c r="M5" s="105" t="s">
        <v>105</v>
      </c>
      <c r="N5" s="104" t="s">
        <v>85</v>
      </c>
      <c r="O5" s="99"/>
      <c r="P5" s="105" t="s">
        <v>113</v>
      </c>
      <c r="Q5" s="104"/>
    </row>
    <row r="6" spans="1:18" x14ac:dyDescent="0.25">
      <c r="A6" s="99"/>
      <c r="B6" s="105" t="s">
        <v>119</v>
      </c>
      <c r="C6" s="103"/>
      <c r="D6" s="132" t="s">
        <v>119</v>
      </c>
      <c r="E6" s="106"/>
      <c r="F6" s="104"/>
      <c r="G6" s="138" t="s">
        <v>119</v>
      </c>
      <c r="H6" s="106"/>
      <c r="I6" s="99"/>
      <c r="J6" s="134" t="s">
        <v>119</v>
      </c>
      <c r="K6" s="104"/>
      <c r="L6" s="104"/>
      <c r="M6" s="105" t="s">
        <v>119</v>
      </c>
      <c r="N6" s="106"/>
      <c r="O6" s="99"/>
      <c r="P6" s="105" t="s">
        <v>119</v>
      </c>
      <c r="Q6" s="104"/>
    </row>
    <row r="7" spans="1:18" x14ac:dyDescent="0.25">
      <c r="B7" s="107" t="s">
        <v>120</v>
      </c>
      <c r="D7" s="133" t="s">
        <v>121</v>
      </c>
      <c r="E7" s="108" t="s">
        <v>122</v>
      </c>
      <c r="G7" s="139" t="s">
        <v>123</v>
      </c>
      <c r="H7" s="108" t="s">
        <v>122</v>
      </c>
      <c r="J7" s="135" t="s">
        <v>124</v>
      </c>
      <c r="K7" s="108" t="s">
        <v>122</v>
      </c>
      <c r="M7" s="107" t="s">
        <v>125</v>
      </c>
      <c r="N7" s="108" t="s">
        <v>122</v>
      </c>
      <c r="P7" s="107" t="s">
        <v>124</v>
      </c>
      <c r="Q7" s="108" t="s">
        <v>122</v>
      </c>
      <c r="R7" s="130" t="s">
        <v>295</v>
      </c>
    </row>
    <row r="8" spans="1:18" x14ac:dyDescent="0.25">
      <c r="B8" s="110"/>
      <c r="D8" s="110"/>
      <c r="E8" s="110"/>
      <c r="G8" s="110"/>
      <c r="H8" s="110"/>
      <c r="J8" s="110"/>
      <c r="M8" s="110"/>
      <c r="N8" s="110"/>
      <c r="R8" s="109"/>
    </row>
    <row r="9" spans="1:18" x14ac:dyDescent="0.25">
      <c r="A9" s="100" t="s">
        <v>126</v>
      </c>
      <c r="B9" s="152">
        <f>'2022 Reforecast'!O29</f>
        <v>4382.32</v>
      </c>
      <c r="C9" s="152"/>
      <c r="D9" s="152">
        <f>B9</f>
        <v>4382.32</v>
      </c>
      <c r="E9" s="153" t="s">
        <v>85</v>
      </c>
      <c r="F9" s="152"/>
      <c r="G9" s="152">
        <f>B9</f>
        <v>4382.32</v>
      </c>
      <c r="H9" s="154"/>
      <c r="I9" s="152"/>
      <c r="J9" s="152">
        <f>B9</f>
        <v>4382.32</v>
      </c>
      <c r="K9" s="154"/>
      <c r="L9" s="155"/>
      <c r="M9" s="152">
        <f>B9</f>
        <v>4382.32</v>
      </c>
      <c r="N9" s="152"/>
      <c r="O9" s="152"/>
      <c r="P9" s="152">
        <f>B9</f>
        <v>4382.32</v>
      </c>
      <c r="Q9" s="111"/>
      <c r="R9" s="109"/>
    </row>
    <row r="10" spans="1:18" x14ac:dyDescent="0.25">
      <c r="A10" s="100" t="s">
        <v>127</v>
      </c>
      <c r="B10" s="152">
        <f>'2022 Reforecast'!O30</f>
        <v>3488.37</v>
      </c>
      <c r="C10" s="152"/>
      <c r="D10" s="152">
        <f t="shared" ref="D10:D26" si="0">B10</f>
        <v>3488.37</v>
      </c>
      <c r="E10" s="156" t="s">
        <v>85</v>
      </c>
      <c r="F10" s="152"/>
      <c r="G10" s="152">
        <f t="shared" ref="G10:G26" si="1">B10</f>
        <v>3488.37</v>
      </c>
      <c r="H10" s="153" t="s">
        <v>128</v>
      </c>
      <c r="I10" s="152"/>
      <c r="J10" s="152">
        <f t="shared" ref="J10:J24" si="2">B10</f>
        <v>3488.37</v>
      </c>
      <c r="K10" s="155" t="s">
        <v>85</v>
      </c>
      <c r="L10" s="155"/>
      <c r="M10" s="152">
        <f t="shared" ref="M10:M26" si="3">B10</f>
        <v>3488.37</v>
      </c>
      <c r="N10" s="157" t="s">
        <v>85</v>
      </c>
      <c r="O10" s="158"/>
      <c r="P10" s="152">
        <f>B10</f>
        <v>3488.37</v>
      </c>
      <c r="R10" s="109"/>
    </row>
    <row r="11" spans="1:18" x14ac:dyDescent="0.25">
      <c r="A11" s="100" t="s">
        <v>129</v>
      </c>
      <c r="B11" s="152">
        <f>'2022 Reforecast'!O31</f>
        <v>0</v>
      </c>
      <c r="C11" s="152"/>
      <c r="D11" s="152">
        <f t="shared" si="0"/>
        <v>0</v>
      </c>
      <c r="E11" s="156" t="s">
        <v>85</v>
      </c>
      <c r="F11" s="152"/>
      <c r="G11" s="152">
        <f t="shared" si="1"/>
        <v>0</v>
      </c>
      <c r="H11" s="153" t="s">
        <v>85</v>
      </c>
      <c r="I11" s="152"/>
      <c r="J11" s="152">
        <f t="shared" si="2"/>
        <v>0</v>
      </c>
      <c r="K11" s="152"/>
      <c r="L11" s="152"/>
      <c r="M11" s="152">
        <f t="shared" si="3"/>
        <v>0</v>
      </c>
      <c r="N11" s="159" t="s">
        <v>85</v>
      </c>
      <c r="O11" s="158"/>
      <c r="P11" s="152">
        <f>B11</f>
        <v>0</v>
      </c>
      <c r="R11" s="109"/>
    </row>
    <row r="12" spans="1:18" x14ac:dyDescent="0.25">
      <c r="A12" s="100" t="s">
        <v>130</v>
      </c>
      <c r="B12" s="152">
        <f>'2022 Reforecast'!O32</f>
        <v>185</v>
      </c>
      <c r="C12" s="152"/>
      <c r="D12" s="152">
        <f t="shared" si="0"/>
        <v>185</v>
      </c>
      <c r="E12" s="156" t="s">
        <v>85</v>
      </c>
      <c r="F12" s="152"/>
      <c r="G12" s="152">
        <f t="shared" si="1"/>
        <v>185</v>
      </c>
      <c r="H12" s="153" t="s">
        <v>85</v>
      </c>
      <c r="I12" s="152"/>
      <c r="J12" s="152">
        <f>B12</f>
        <v>185</v>
      </c>
      <c r="K12" s="152"/>
      <c r="L12" s="152"/>
      <c r="M12" s="152">
        <f t="shared" si="3"/>
        <v>185</v>
      </c>
      <c r="N12" s="159" t="s">
        <v>85</v>
      </c>
      <c r="O12" s="158"/>
      <c r="P12" s="152">
        <f t="shared" ref="P12:P26" si="4">B12</f>
        <v>185</v>
      </c>
      <c r="R12" s="109"/>
    </row>
    <row r="13" spans="1:18" x14ac:dyDescent="0.25">
      <c r="A13" s="100" t="s">
        <v>131</v>
      </c>
      <c r="B13" s="152">
        <f>'2022 Reforecast'!O33</f>
        <v>7300</v>
      </c>
      <c r="C13" s="152"/>
      <c r="D13" s="152">
        <f t="shared" si="0"/>
        <v>7300</v>
      </c>
      <c r="E13" s="156" t="s">
        <v>85</v>
      </c>
      <c r="F13" s="152"/>
      <c r="G13" s="152">
        <f t="shared" si="1"/>
        <v>7300</v>
      </c>
      <c r="H13" s="153" t="s">
        <v>85</v>
      </c>
      <c r="I13" s="152"/>
      <c r="J13" s="152">
        <f t="shared" si="2"/>
        <v>7300</v>
      </c>
      <c r="K13" s="152"/>
      <c r="L13" s="152"/>
      <c r="M13" s="152">
        <f t="shared" si="3"/>
        <v>7300</v>
      </c>
      <c r="N13" s="159" t="s">
        <v>85</v>
      </c>
      <c r="O13" s="158"/>
      <c r="P13" s="152">
        <f t="shared" si="4"/>
        <v>7300</v>
      </c>
      <c r="R13" s="109"/>
    </row>
    <row r="14" spans="1:18" x14ac:dyDescent="0.25">
      <c r="A14" s="100" t="s">
        <v>132</v>
      </c>
      <c r="B14" s="152">
        <f>'2022 Reforecast'!O34</f>
        <v>1480</v>
      </c>
      <c r="C14" s="152"/>
      <c r="D14" s="152">
        <f t="shared" si="0"/>
        <v>1480</v>
      </c>
      <c r="E14" s="156" t="s">
        <v>85</v>
      </c>
      <c r="F14" s="152"/>
      <c r="G14" s="152">
        <f t="shared" si="1"/>
        <v>1480</v>
      </c>
      <c r="H14" s="153" t="s">
        <v>85</v>
      </c>
      <c r="I14" s="152"/>
      <c r="J14" s="152">
        <f t="shared" si="2"/>
        <v>1480</v>
      </c>
      <c r="K14" s="152"/>
      <c r="L14" s="152"/>
      <c r="M14" s="152">
        <f t="shared" si="3"/>
        <v>1480</v>
      </c>
      <c r="N14" s="159" t="s">
        <v>85</v>
      </c>
      <c r="O14" s="158"/>
      <c r="P14" s="152">
        <f t="shared" si="4"/>
        <v>1480</v>
      </c>
      <c r="R14" s="109"/>
    </row>
    <row r="15" spans="1:18" x14ac:dyDescent="0.25">
      <c r="A15" s="100" t="s">
        <v>133</v>
      </c>
      <c r="B15" s="152">
        <f>'2022 Reforecast'!O35</f>
        <v>11691</v>
      </c>
      <c r="C15" s="152"/>
      <c r="D15" s="152">
        <f t="shared" si="0"/>
        <v>11691</v>
      </c>
      <c r="E15" s="156" t="s">
        <v>85</v>
      </c>
      <c r="F15" s="152"/>
      <c r="G15" s="152">
        <f t="shared" si="1"/>
        <v>11691</v>
      </c>
      <c r="H15" s="153"/>
      <c r="I15" s="152"/>
      <c r="J15" s="152">
        <f t="shared" si="2"/>
        <v>11691</v>
      </c>
      <c r="K15" s="152"/>
      <c r="L15" s="152"/>
      <c r="M15" s="152">
        <f t="shared" si="3"/>
        <v>11691</v>
      </c>
      <c r="N15" s="159" t="s">
        <v>85</v>
      </c>
      <c r="O15" s="158"/>
      <c r="P15" s="152">
        <f t="shared" si="4"/>
        <v>11691</v>
      </c>
      <c r="R15" s="109"/>
    </row>
    <row r="16" spans="1:18" x14ac:dyDescent="0.25">
      <c r="A16" s="100" t="s">
        <v>134</v>
      </c>
      <c r="B16" s="152">
        <f>'2022 Reforecast'!O36</f>
        <v>6214.6</v>
      </c>
      <c r="C16" s="152"/>
      <c r="D16" s="152">
        <f t="shared" si="0"/>
        <v>6214.6</v>
      </c>
      <c r="E16" s="156" t="s">
        <v>85</v>
      </c>
      <c r="F16" s="152"/>
      <c r="G16" s="152">
        <f t="shared" si="1"/>
        <v>6214.6</v>
      </c>
      <c r="H16" s="153"/>
      <c r="I16" s="152"/>
      <c r="J16" s="152">
        <f t="shared" si="2"/>
        <v>6214.6</v>
      </c>
      <c r="K16" s="152"/>
      <c r="L16" s="152"/>
      <c r="M16" s="152">
        <f t="shared" si="3"/>
        <v>6214.6</v>
      </c>
      <c r="N16" s="159" t="s">
        <v>85</v>
      </c>
      <c r="O16" s="158"/>
      <c r="P16" s="152">
        <f t="shared" si="4"/>
        <v>6214.6</v>
      </c>
      <c r="R16" s="109"/>
    </row>
    <row r="17" spans="1:18" x14ac:dyDescent="0.25">
      <c r="A17" s="100" t="s">
        <v>135</v>
      </c>
      <c r="B17" s="152">
        <f>'2022 Reforecast'!O37</f>
        <v>9278.61</v>
      </c>
      <c r="C17" s="152"/>
      <c r="D17" s="152">
        <f t="shared" si="0"/>
        <v>9278.61</v>
      </c>
      <c r="E17" s="156" t="s">
        <v>85</v>
      </c>
      <c r="F17" s="152"/>
      <c r="G17" s="152">
        <f t="shared" si="1"/>
        <v>9278.61</v>
      </c>
      <c r="H17" s="153"/>
      <c r="I17" s="152"/>
      <c r="J17" s="152">
        <f t="shared" si="2"/>
        <v>9278.61</v>
      </c>
      <c r="K17" s="152"/>
      <c r="L17" s="152"/>
      <c r="M17" s="152">
        <f t="shared" si="3"/>
        <v>9278.61</v>
      </c>
      <c r="N17" s="159" t="s">
        <v>85</v>
      </c>
      <c r="O17" s="158"/>
      <c r="P17" s="152">
        <f t="shared" si="4"/>
        <v>9278.61</v>
      </c>
      <c r="R17" s="109"/>
    </row>
    <row r="18" spans="1:18" ht="43.5" x14ac:dyDescent="0.25">
      <c r="A18" s="141" t="s">
        <v>136</v>
      </c>
      <c r="B18" s="160">
        <f>'2022 Reforecast'!O38</f>
        <v>100662.32</v>
      </c>
      <c r="C18" s="160"/>
      <c r="D18" s="160">
        <v>20283.009999999998</v>
      </c>
      <c r="E18" s="161"/>
      <c r="F18" s="160"/>
      <c r="G18" s="160">
        <v>34571.01</v>
      </c>
      <c r="H18" s="162"/>
      <c r="I18" s="160"/>
      <c r="J18" s="160">
        <v>11688.9</v>
      </c>
      <c r="K18" s="160"/>
      <c r="L18" s="160"/>
      <c r="M18" s="160">
        <v>33841.79</v>
      </c>
      <c r="N18" s="163"/>
      <c r="O18" s="164"/>
      <c r="P18" s="160">
        <v>254.75</v>
      </c>
      <c r="Q18" s="142"/>
      <c r="R18" s="306" t="s">
        <v>415</v>
      </c>
    </row>
    <row r="19" spans="1:18" x14ac:dyDescent="0.25">
      <c r="A19" s="100" t="s">
        <v>302</v>
      </c>
      <c r="B19" s="152">
        <f>'2022 Reforecast'!O39</f>
        <v>500</v>
      </c>
      <c r="C19" s="152"/>
      <c r="D19" s="152">
        <f t="shared" si="0"/>
        <v>500</v>
      </c>
      <c r="E19" s="156" t="s">
        <v>85</v>
      </c>
      <c r="F19" s="152"/>
      <c r="G19" s="152">
        <f t="shared" si="1"/>
        <v>500</v>
      </c>
      <c r="H19" s="153"/>
      <c r="I19" s="152"/>
      <c r="J19" s="152">
        <f t="shared" si="2"/>
        <v>500</v>
      </c>
      <c r="K19" s="152"/>
      <c r="L19" s="152"/>
      <c r="M19" s="152">
        <f t="shared" si="3"/>
        <v>500</v>
      </c>
      <c r="N19" s="159" t="s">
        <v>85</v>
      </c>
      <c r="O19" s="158"/>
      <c r="P19" s="152">
        <f t="shared" si="4"/>
        <v>500</v>
      </c>
      <c r="R19" s="109"/>
    </row>
    <row r="20" spans="1:18" x14ac:dyDescent="0.25">
      <c r="A20" s="100" t="s">
        <v>137</v>
      </c>
      <c r="B20" s="152">
        <f>'2022 Reforecast'!O40</f>
        <v>11662.4</v>
      </c>
      <c r="C20" s="152"/>
      <c r="D20" s="152">
        <f t="shared" si="0"/>
        <v>11662.4</v>
      </c>
      <c r="E20" s="156" t="s">
        <v>85</v>
      </c>
      <c r="F20" s="152"/>
      <c r="G20" s="152">
        <f t="shared" si="1"/>
        <v>11662.4</v>
      </c>
      <c r="H20" s="153"/>
      <c r="I20" s="152"/>
      <c r="J20" s="152">
        <f t="shared" si="2"/>
        <v>11662.4</v>
      </c>
      <c r="K20" s="152"/>
      <c r="L20" s="152"/>
      <c r="M20" s="152">
        <f t="shared" si="3"/>
        <v>11662.4</v>
      </c>
      <c r="N20" s="159" t="s">
        <v>85</v>
      </c>
      <c r="O20" s="158"/>
      <c r="P20" s="152">
        <f t="shared" si="4"/>
        <v>11662.4</v>
      </c>
      <c r="R20" s="109"/>
    </row>
    <row r="21" spans="1:18" x14ac:dyDescent="0.25">
      <c r="A21" s="100" t="s">
        <v>138</v>
      </c>
      <c r="B21" s="152">
        <f>'2022 Reforecast'!O41</f>
        <v>3150</v>
      </c>
      <c r="C21" s="152"/>
      <c r="D21" s="152">
        <f t="shared" si="0"/>
        <v>3150</v>
      </c>
      <c r="E21" s="156" t="s">
        <v>85</v>
      </c>
      <c r="F21" s="152"/>
      <c r="G21" s="152">
        <f t="shared" si="1"/>
        <v>3150</v>
      </c>
      <c r="H21" s="153"/>
      <c r="I21" s="152"/>
      <c r="J21" s="152">
        <f t="shared" si="2"/>
        <v>3150</v>
      </c>
      <c r="K21" s="152"/>
      <c r="L21" s="152"/>
      <c r="M21" s="152">
        <f t="shared" si="3"/>
        <v>3150</v>
      </c>
      <c r="N21" s="159" t="s">
        <v>85</v>
      </c>
      <c r="O21" s="158"/>
      <c r="P21" s="152">
        <f t="shared" si="4"/>
        <v>3150</v>
      </c>
      <c r="R21" s="109"/>
    </row>
    <row r="22" spans="1:18" x14ac:dyDescent="0.25">
      <c r="A22" s="100" t="s">
        <v>139</v>
      </c>
      <c r="B22" s="165">
        <v>0</v>
      </c>
      <c r="C22" s="165"/>
      <c r="D22" s="165">
        <f t="shared" si="0"/>
        <v>0</v>
      </c>
      <c r="E22" s="166"/>
      <c r="F22" s="165"/>
      <c r="G22" s="165">
        <f t="shared" si="1"/>
        <v>0</v>
      </c>
      <c r="H22" s="167"/>
      <c r="I22" s="165"/>
      <c r="J22" s="165">
        <f t="shared" si="2"/>
        <v>0</v>
      </c>
      <c r="K22" s="165"/>
      <c r="L22" s="165"/>
      <c r="M22" s="165">
        <f t="shared" si="3"/>
        <v>0</v>
      </c>
      <c r="N22" s="168" t="s">
        <v>85</v>
      </c>
      <c r="O22" s="158"/>
      <c r="P22" s="165">
        <f t="shared" si="4"/>
        <v>0</v>
      </c>
      <c r="Q22" s="109"/>
      <c r="R22" s="114"/>
    </row>
    <row r="23" spans="1:18" x14ac:dyDescent="0.25">
      <c r="A23" s="100" t="s">
        <v>140</v>
      </c>
      <c r="B23" s="152">
        <v>0</v>
      </c>
      <c r="C23" s="152"/>
      <c r="D23" s="152">
        <f t="shared" si="0"/>
        <v>0</v>
      </c>
      <c r="E23" s="159"/>
      <c r="F23" s="152"/>
      <c r="G23" s="152">
        <f t="shared" si="1"/>
        <v>0</v>
      </c>
      <c r="H23" s="153"/>
      <c r="I23" s="152"/>
      <c r="J23" s="152">
        <f t="shared" si="2"/>
        <v>0</v>
      </c>
      <c r="K23" s="152"/>
      <c r="L23" s="152"/>
      <c r="M23" s="152">
        <f t="shared" si="3"/>
        <v>0</v>
      </c>
      <c r="N23" s="159"/>
      <c r="O23" s="158"/>
      <c r="P23" s="152">
        <f t="shared" si="4"/>
        <v>0</v>
      </c>
      <c r="R23" s="109"/>
    </row>
    <row r="24" spans="1:18" x14ac:dyDescent="0.25">
      <c r="A24" s="100" t="s">
        <v>141</v>
      </c>
      <c r="B24" s="152">
        <f>'2022 Reforecast'!O42</f>
        <v>0</v>
      </c>
      <c r="C24" s="152"/>
      <c r="D24" s="152" t="s">
        <v>142</v>
      </c>
      <c r="E24" s="159"/>
      <c r="F24" s="152"/>
      <c r="G24" s="165">
        <v>0</v>
      </c>
      <c r="H24" s="153" t="s">
        <v>143</v>
      </c>
      <c r="I24" s="152"/>
      <c r="J24" s="152">
        <f t="shared" si="2"/>
        <v>0</v>
      </c>
      <c r="K24" s="152"/>
      <c r="L24" s="152"/>
      <c r="M24" s="152">
        <f t="shared" si="3"/>
        <v>0</v>
      </c>
      <c r="N24" s="159"/>
      <c r="O24" s="158"/>
      <c r="P24" s="152">
        <f t="shared" si="4"/>
        <v>0</v>
      </c>
      <c r="R24" s="109"/>
    </row>
    <row r="25" spans="1:18" x14ac:dyDescent="0.25">
      <c r="A25" s="100" t="s">
        <v>144</v>
      </c>
      <c r="B25" s="152"/>
      <c r="C25" s="152"/>
      <c r="D25" s="152">
        <f>B25</f>
        <v>0</v>
      </c>
      <c r="E25" s="159"/>
      <c r="F25" s="152"/>
      <c r="G25" s="152">
        <f>B25</f>
        <v>0</v>
      </c>
      <c r="H25" s="153"/>
      <c r="I25" s="152"/>
      <c r="J25" s="152">
        <f>B25</f>
        <v>0</v>
      </c>
      <c r="K25" s="152"/>
      <c r="L25" s="152"/>
      <c r="M25" s="152">
        <f t="shared" si="3"/>
        <v>0</v>
      </c>
      <c r="N25" s="159"/>
      <c r="O25" s="158"/>
      <c r="P25" s="152">
        <f t="shared" si="4"/>
        <v>0</v>
      </c>
      <c r="R25" s="109"/>
    </row>
    <row r="26" spans="1:18" ht="17.25" x14ac:dyDescent="0.4">
      <c r="A26" s="100" t="s">
        <v>145</v>
      </c>
      <c r="B26" s="169">
        <v>0</v>
      </c>
      <c r="C26" s="152"/>
      <c r="D26" s="169">
        <f t="shared" si="0"/>
        <v>0</v>
      </c>
      <c r="E26" s="159"/>
      <c r="F26" s="152"/>
      <c r="G26" s="169">
        <f t="shared" si="1"/>
        <v>0</v>
      </c>
      <c r="H26" s="169"/>
      <c r="I26" s="152"/>
      <c r="J26" s="170">
        <f>B26</f>
        <v>0</v>
      </c>
      <c r="K26" s="152"/>
      <c r="L26" s="152"/>
      <c r="M26" s="170">
        <f t="shared" si="3"/>
        <v>0</v>
      </c>
      <c r="N26" s="159"/>
      <c r="O26" s="158"/>
      <c r="P26" s="170">
        <f t="shared" si="4"/>
        <v>0</v>
      </c>
      <c r="R26" s="109"/>
    </row>
    <row r="27" spans="1:18" x14ac:dyDescent="0.25">
      <c r="B27" s="152">
        <f>SUM(B9:B26)</f>
        <v>159994.62</v>
      </c>
      <c r="C27" s="152"/>
      <c r="D27" s="171">
        <f>SUM(D9:D21)</f>
        <v>79615.31</v>
      </c>
      <c r="E27" s="172" t="s">
        <v>369</v>
      </c>
      <c r="F27" s="171"/>
      <c r="G27" s="152">
        <f>SUM(G9:G26)</f>
        <v>93903.31</v>
      </c>
      <c r="H27" s="152"/>
      <c r="I27" s="152"/>
      <c r="J27" s="173">
        <f>D60</f>
        <v>48633.501000000004</v>
      </c>
      <c r="K27" s="173" t="s">
        <v>191</v>
      </c>
      <c r="L27" s="152"/>
      <c r="M27" s="152">
        <f>SUM(M9:M26)</f>
        <v>93174.09</v>
      </c>
      <c r="N27" s="159"/>
      <c r="O27" s="158"/>
      <c r="P27" s="152">
        <f>SUM(P9:P26)</f>
        <v>59587.05</v>
      </c>
      <c r="R27" s="109"/>
    </row>
    <row r="28" spans="1:18" ht="16.5" customHeight="1" x14ac:dyDescent="0.25">
      <c r="A28" s="100" t="s">
        <v>146</v>
      </c>
      <c r="B28" s="174">
        <f>'2022 Reforecast'!O65</f>
        <v>40447.42</v>
      </c>
      <c r="C28" s="152"/>
      <c r="D28" s="170">
        <f>B28</f>
        <v>40447.42</v>
      </c>
      <c r="E28" s="159" t="s">
        <v>85</v>
      </c>
      <c r="F28" s="152"/>
      <c r="G28" s="175">
        <f>+G27*5%</f>
        <v>4695.1655000000001</v>
      </c>
      <c r="H28" s="152" t="s">
        <v>188</v>
      </c>
      <c r="I28" s="152"/>
      <c r="J28" s="176">
        <f>J27*0.1</f>
        <v>4863.3501000000006</v>
      </c>
      <c r="K28" s="186">
        <v>0.1</v>
      </c>
      <c r="L28" s="152"/>
      <c r="M28" s="170">
        <f>+B28</f>
        <v>40447.42</v>
      </c>
      <c r="N28" s="156" t="s">
        <v>85</v>
      </c>
      <c r="O28" s="158"/>
      <c r="P28" s="170">
        <f>B28</f>
        <v>40447.42</v>
      </c>
      <c r="R28" s="109"/>
    </row>
    <row r="29" spans="1:18" x14ac:dyDescent="0.25">
      <c r="A29" s="100" t="s">
        <v>147</v>
      </c>
      <c r="B29" s="152">
        <f>SUM(B27:B28)</f>
        <v>200442.03999999998</v>
      </c>
      <c r="C29" s="152"/>
      <c r="D29" s="152">
        <f>SUM(D27:D28)</f>
        <v>120062.73</v>
      </c>
      <c r="E29" s="152"/>
      <c r="F29" s="152"/>
      <c r="G29" s="152">
        <f>SUM(G27:G28)</f>
        <v>98598.4755</v>
      </c>
      <c r="H29" s="152"/>
      <c r="I29" s="152"/>
      <c r="J29" s="152">
        <f>SUM(J27:J28)</f>
        <v>53496.851100000007</v>
      </c>
      <c r="K29" s="152" t="s">
        <v>85</v>
      </c>
      <c r="L29" s="152"/>
      <c r="M29" s="152">
        <f>SUM(M27:M28)</f>
        <v>133621.51</v>
      </c>
      <c r="N29" s="152" t="s">
        <v>85</v>
      </c>
      <c r="O29" s="158"/>
      <c r="P29" s="152">
        <f>SUM(P27:P28)</f>
        <v>100034.47</v>
      </c>
      <c r="R29" s="109"/>
    </row>
    <row r="30" spans="1:18" x14ac:dyDescent="0.25"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8"/>
      <c r="P30" s="152"/>
      <c r="R30" s="109"/>
    </row>
    <row r="31" spans="1:18" x14ac:dyDescent="0.25">
      <c r="A31" s="100" t="s">
        <v>303</v>
      </c>
      <c r="B31" s="155" t="s">
        <v>148</v>
      </c>
      <c r="C31" s="152"/>
      <c r="D31" s="152">
        <v>0</v>
      </c>
      <c r="E31" s="155" t="s">
        <v>85</v>
      </c>
      <c r="F31" s="152"/>
      <c r="G31" s="178" t="s">
        <v>148</v>
      </c>
      <c r="H31" s="155" t="s">
        <v>85</v>
      </c>
      <c r="I31" s="152" t="s">
        <v>85</v>
      </c>
      <c r="J31" s="178" t="s">
        <v>148</v>
      </c>
      <c r="K31" s="152" t="s">
        <v>85</v>
      </c>
      <c r="L31" s="152"/>
      <c r="M31" s="152">
        <v>0</v>
      </c>
      <c r="N31" s="153" t="s">
        <v>85</v>
      </c>
      <c r="O31" s="158"/>
      <c r="P31" s="152">
        <f>P29*0.15</f>
        <v>15005.1705</v>
      </c>
      <c r="R31" s="109"/>
    </row>
    <row r="32" spans="1:18" x14ac:dyDescent="0.25">
      <c r="B32" s="155"/>
      <c r="C32" s="152"/>
      <c r="D32" s="152"/>
      <c r="E32" s="155"/>
      <c r="F32" s="152"/>
      <c r="G32" s="178"/>
      <c r="H32" s="155"/>
      <c r="I32" s="152"/>
      <c r="J32" s="178"/>
      <c r="K32" s="152"/>
      <c r="L32" s="152"/>
      <c r="M32" s="152"/>
      <c r="N32" s="153"/>
      <c r="O32" s="158"/>
      <c r="P32" s="152"/>
      <c r="R32" s="109"/>
    </row>
    <row r="33" spans="1:18" x14ac:dyDescent="0.25">
      <c r="A33" s="100" t="s">
        <v>364</v>
      </c>
      <c r="B33" s="155"/>
      <c r="C33" s="152"/>
      <c r="D33" s="152"/>
      <c r="E33" s="155"/>
      <c r="F33" s="152"/>
      <c r="G33" s="178"/>
      <c r="H33" s="155"/>
      <c r="I33" s="152"/>
      <c r="J33" s="178"/>
      <c r="K33" s="152"/>
      <c r="L33" s="152"/>
      <c r="M33" s="165">
        <f>'2022 Reforecast'!O51</f>
        <v>49616.039999999986</v>
      </c>
      <c r="N33" s="177"/>
      <c r="O33" s="158"/>
      <c r="P33" s="152">
        <v>0</v>
      </c>
      <c r="R33" s="109"/>
    </row>
    <row r="34" spans="1:18" x14ac:dyDescent="0.25">
      <c r="A34" s="100" t="s">
        <v>149</v>
      </c>
      <c r="B34" s="170">
        <v>0</v>
      </c>
      <c r="C34" s="152"/>
      <c r="D34" s="170">
        <v>0</v>
      </c>
      <c r="E34" s="152" t="s">
        <v>85</v>
      </c>
      <c r="F34" s="152"/>
      <c r="G34" s="170">
        <v>0</v>
      </c>
      <c r="H34" s="152" t="s">
        <v>85</v>
      </c>
      <c r="I34" s="152"/>
      <c r="J34" s="170">
        <v>0</v>
      </c>
      <c r="K34" s="155" t="s">
        <v>85</v>
      </c>
      <c r="L34" s="152"/>
      <c r="M34" s="175">
        <f>'2022 Reforecast'!O48</f>
        <v>67200</v>
      </c>
      <c r="N34" s="152" t="s">
        <v>370</v>
      </c>
      <c r="O34" s="158"/>
      <c r="P34" s="170">
        <v>0</v>
      </c>
      <c r="R34" s="100" t="s">
        <v>315</v>
      </c>
    </row>
    <row r="35" spans="1:18" x14ac:dyDescent="0.25">
      <c r="B35" s="152" t="s">
        <v>85</v>
      </c>
      <c r="C35" s="152"/>
      <c r="D35" s="152">
        <f>SUM(D29:D34)</f>
        <v>120062.73</v>
      </c>
      <c r="E35" s="152" t="s">
        <v>85</v>
      </c>
      <c r="F35" s="152"/>
      <c r="G35" s="152">
        <f>SUM(G29:G34)</f>
        <v>98598.4755</v>
      </c>
      <c r="H35" s="152" t="s">
        <v>85</v>
      </c>
      <c r="I35" s="152"/>
      <c r="J35" s="152">
        <f>SUM(J29:J34)</f>
        <v>53496.851100000007</v>
      </c>
      <c r="K35" s="152"/>
      <c r="L35" s="152"/>
      <c r="M35" s="152">
        <f>SUM(M29:M34)</f>
        <v>250437.55</v>
      </c>
      <c r="N35" s="152"/>
      <c r="O35" s="158"/>
      <c r="P35" s="152">
        <f>SUM(P29:P34)</f>
        <v>115039.64050000001</v>
      </c>
      <c r="R35" s="109"/>
    </row>
    <row r="36" spans="1:18" x14ac:dyDescent="0.25"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 t="s">
        <v>85</v>
      </c>
      <c r="O36" s="158"/>
      <c r="P36" s="152"/>
      <c r="R36" s="109"/>
    </row>
    <row r="37" spans="1:18" x14ac:dyDescent="0.25"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 t="s">
        <v>85</v>
      </c>
      <c r="P37" s="111"/>
      <c r="R37" s="109"/>
    </row>
    <row r="38" spans="1:18" ht="15.75" thickBot="1" x14ac:dyDescent="0.3">
      <c r="A38" s="144" t="s">
        <v>150</v>
      </c>
      <c r="B38" s="179">
        <f>SUM(B29:B37)</f>
        <v>200442.03999999998</v>
      </c>
      <c r="C38" s="131">
        <f>B38/159454</f>
        <v>1.2570524414564701</v>
      </c>
      <c r="D38" s="179">
        <f>SUM(D35:D37)</f>
        <v>120062.73</v>
      </c>
      <c r="E38" s="180"/>
      <c r="F38" s="180"/>
      <c r="G38" s="179">
        <f>SUM(G35:G37)</f>
        <v>98598.4755</v>
      </c>
      <c r="H38" s="180"/>
      <c r="I38" s="180"/>
      <c r="J38" s="179">
        <f>SUM(J35:J37)</f>
        <v>53496.851100000007</v>
      </c>
      <c r="K38" s="180" t="s">
        <v>85</v>
      </c>
      <c r="L38" s="180"/>
      <c r="M38" s="179">
        <f>+M29+M33+M34</f>
        <v>250437.55</v>
      </c>
      <c r="N38" s="180"/>
      <c r="O38" s="181"/>
      <c r="P38" s="179">
        <f>P35+P31</f>
        <v>130044.81100000002</v>
      </c>
      <c r="Q38" s="99"/>
      <c r="R38" s="109"/>
    </row>
    <row r="39" spans="1:18" ht="15.75" thickTop="1" x14ac:dyDescent="0.25">
      <c r="B39" s="111"/>
      <c r="C39" s="111"/>
      <c r="D39" s="111"/>
      <c r="E39" s="111"/>
      <c r="F39" s="111"/>
      <c r="G39" s="111"/>
      <c r="H39" s="111"/>
      <c r="I39" s="111"/>
      <c r="J39" s="111" t="s">
        <v>85</v>
      </c>
      <c r="K39" s="111" t="s">
        <v>85</v>
      </c>
      <c r="L39" s="111"/>
      <c r="M39" s="111"/>
      <c r="N39" s="111"/>
      <c r="R39" s="109"/>
    </row>
    <row r="40" spans="1:18" x14ac:dyDescent="0.25"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R40" s="109"/>
    </row>
    <row r="41" spans="1:18" x14ac:dyDescent="0.25">
      <c r="B41" s="118" t="s">
        <v>174</v>
      </c>
      <c r="C41" s="119" t="s">
        <v>175</v>
      </c>
      <c r="D41" s="142"/>
      <c r="E41" s="143"/>
      <c r="F41" s="143"/>
      <c r="G41" s="143"/>
      <c r="H41" s="143"/>
      <c r="I41" s="115"/>
      <c r="J41" s="115"/>
      <c r="K41" s="115"/>
      <c r="L41" s="111"/>
      <c r="M41" s="111"/>
      <c r="N41" s="111"/>
    </row>
    <row r="42" spans="1:18" x14ac:dyDescent="0.25">
      <c r="B42" s="119" t="s">
        <v>185</v>
      </c>
      <c r="C42" s="143"/>
      <c r="D42" s="142"/>
      <c r="E42" s="143"/>
      <c r="F42" s="143"/>
      <c r="G42" s="143"/>
      <c r="H42" s="143"/>
      <c r="I42" s="115"/>
      <c r="J42" s="115"/>
      <c r="K42" s="115"/>
      <c r="L42" s="111"/>
      <c r="M42" s="111"/>
      <c r="N42" s="111"/>
    </row>
    <row r="43" spans="1:18" x14ac:dyDescent="0.25">
      <c r="B43" s="111"/>
      <c r="C43" s="120" t="s">
        <v>186</v>
      </c>
      <c r="D43" s="111"/>
      <c r="E43" s="111"/>
      <c r="F43" s="111"/>
      <c r="G43" s="111"/>
      <c r="H43" s="111"/>
      <c r="I43" s="111"/>
      <c r="J43" s="111"/>
      <c r="K43" s="111"/>
      <c r="L43" s="113"/>
      <c r="M43" s="113"/>
      <c r="N43" s="113"/>
    </row>
    <row r="44" spans="1:18" x14ac:dyDescent="0.25">
      <c r="B44" s="112" t="s">
        <v>306</v>
      </c>
      <c r="C44" s="146"/>
      <c r="D44" s="165">
        <v>51511.46</v>
      </c>
      <c r="E44" s="113"/>
      <c r="F44" s="111"/>
      <c r="G44" s="115" t="s">
        <v>368</v>
      </c>
      <c r="H44" s="115"/>
      <c r="I44" s="111"/>
      <c r="J44" s="111"/>
      <c r="K44" s="111"/>
      <c r="L44" s="321"/>
      <c r="M44" s="321"/>
      <c r="N44" s="121"/>
      <c r="P44" s="109" t="s">
        <v>85</v>
      </c>
    </row>
    <row r="45" spans="1:18" x14ac:dyDescent="0.25">
      <c r="B45" s="147" t="s">
        <v>304</v>
      </c>
      <c r="D45" s="158">
        <f>D44*1.1</f>
        <v>56662.606000000007</v>
      </c>
      <c r="F45" s="148"/>
      <c r="G45" s="183">
        <f>SUM(D11,D12,D13,D14,D15,D17,D18,D19,D20,D21,D22,D23,D25,D26)</f>
        <v>65530.02</v>
      </c>
      <c r="H45" s="113" t="s">
        <v>411</v>
      </c>
      <c r="I45" s="148"/>
      <c r="J45" s="111"/>
      <c r="K45" s="111"/>
      <c r="N45" s="122"/>
      <c r="P45" s="109"/>
    </row>
    <row r="46" spans="1:18" x14ac:dyDescent="0.25">
      <c r="B46" s="149" t="s">
        <v>367</v>
      </c>
      <c r="C46" s="99"/>
      <c r="D46" s="182">
        <f>D45*1.1</f>
        <v>62328.866600000016</v>
      </c>
      <c r="G46" s="152">
        <f>D9</f>
        <v>4382.32</v>
      </c>
      <c r="H46" s="100" t="s">
        <v>187</v>
      </c>
    </row>
    <row r="47" spans="1:18" x14ac:dyDescent="0.25">
      <c r="D47" s="158"/>
      <c r="G47" s="158">
        <f>D10</f>
        <v>3488.37</v>
      </c>
    </row>
    <row r="48" spans="1:18" x14ac:dyDescent="0.25">
      <c r="B48" s="109" t="s">
        <v>410</v>
      </c>
      <c r="C48" s="109"/>
      <c r="D48" s="109"/>
      <c r="G48" s="184">
        <f>D16</f>
        <v>6214.6</v>
      </c>
    </row>
    <row r="49" spans="2:14" x14ac:dyDescent="0.25">
      <c r="B49" s="109"/>
      <c r="C49" s="109"/>
      <c r="D49" s="126">
        <v>81974.36</v>
      </c>
      <c r="G49" s="158">
        <f>SUM(G45:G48)</f>
        <v>79615.31</v>
      </c>
    </row>
    <row r="50" spans="2:14" x14ac:dyDescent="0.25">
      <c r="G50" s="158"/>
    </row>
    <row r="51" spans="2:14" x14ac:dyDescent="0.25">
      <c r="G51" s="158"/>
    </row>
    <row r="52" spans="2:14" x14ac:dyDescent="0.25">
      <c r="G52" s="123"/>
    </row>
    <row r="53" spans="2:14" x14ac:dyDescent="0.25">
      <c r="B53" s="124" t="s">
        <v>189</v>
      </c>
      <c r="C53" s="125" t="s">
        <v>190</v>
      </c>
      <c r="D53" s="125"/>
      <c r="E53" s="125"/>
      <c r="F53" s="125"/>
      <c r="G53" s="125"/>
      <c r="H53" s="125"/>
      <c r="I53" s="125"/>
      <c r="J53" s="125"/>
      <c r="K53" s="125"/>
    </row>
    <row r="54" spans="2:14" x14ac:dyDescent="0.25">
      <c r="B54" s="128" t="s">
        <v>398</v>
      </c>
    </row>
    <row r="55" spans="2:14" x14ac:dyDescent="0.25">
      <c r="B55" s="99"/>
    </row>
    <row r="57" spans="2:14" x14ac:dyDescent="0.25">
      <c r="B57" s="140" t="s">
        <v>192</v>
      </c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37"/>
    </row>
    <row r="58" spans="2:14" x14ac:dyDescent="0.25">
      <c r="B58" s="136"/>
      <c r="C58" s="136"/>
      <c r="D58" s="187"/>
    </row>
    <row r="59" spans="2:14" x14ac:dyDescent="0.25">
      <c r="B59" s="136" t="s">
        <v>305</v>
      </c>
      <c r="C59" s="136"/>
      <c r="D59" s="187">
        <v>46317.62</v>
      </c>
      <c r="E59" s="109" t="s">
        <v>409</v>
      </c>
    </row>
    <row r="60" spans="2:14" x14ac:dyDescent="0.25">
      <c r="B60" s="150" t="s">
        <v>366</v>
      </c>
      <c r="C60" s="150"/>
      <c r="D60" s="188">
        <f>D59*1.05</f>
        <v>48633.501000000004</v>
      </c>
    </row>
    <row r="61" spans="2:14" x14ac:dyDescent="0.25">
      <c r="D61" s="127"/>
    </row>
    <row r="62" spans="2:14" x14ac:dyDescent="0.25">
      <c r="B62" s="109"/>
      <c r="C62" s="109"/>
      <c r="D62" s="126"/>
    </row>
    <row r="63" spans="2:14" x14ac:dyDescent="0.25">
      <c r="B63" s="128"/>
      <c r="C63" s="128"/>
      <c r="D63" s="129"/>
    </row>
  </sheetData>
  <mergeCells count="2">
    <mergeCell ref="L44:M44"/>
    <mergeCell ref="D2:Q2"/>
  </mergeCells>
  <pageMargins left="0.7" right="0.7" top="0.75" bottom="0.75" header="0.3" footer="0.3"/>
  <pageSetup scale="58" fitToHeight="0" orientation="landscape" r:id="rId1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CEC02-329C-42CF-A807-B583EC01A5F1}">
  <sheetPr>
    <tabColor theme="2"/>
    <pageSetUpPr fitToPage="1"/>
  </sheetPr>
  <dimension ref="A1:R37"/>
  <sheetViews>
    <sheetView workbookViewId="0">
      <selection activeCell="A37" sqref="A37:XFD37"/>
    </sheetView>
  </sheetViews>
  <sheetFormatPr defaultColWidth="8.85546875" defaultRowHeight="15" x14ac:dyDescent="0.25"/>
  <cols>
    <col min="1" max="1" width="30.7109375" style="1" customWidth="1"/>
    <col min="2" max="2" width="11.7109375" style="1" bestFit="1" customWidth="1"/>
    <col min="3" max="3" width="2.7109375" style="1" customWidth="1"/>
    <col min="4" max="6" width="10.7109375" style="1" customWidth="1"/>
    <col min="7" max="8" width="8.85546875" style="1"/>
    <col min="9" max="9" width="13.42578125" style="1" customWidth="1"/>
    <col min="10" max="10" width="11.7109375" style="1" customWidth="1"/>
    <col min="11" max="11" width="11" style="1" customWidth="1"/>
    <col min="12" max="12" width="43.140625" style="1" customWidth="1"/>
    <col min="13" max="13" width="34.42578125" style="1" customWidth="1"/>
    <col min="14" max="14" width="50.42578125" style="1" customWidth="1"/>
    <col min="15" max="16384" width="8.85546875" style="1"/>
  </cols>
  <sheetData>
    <row r="1" spans="1:18" x14ac:dyDescent="0.25">
      <c r="A1" s="189" t="s">
        <v>115</v>
      </c>
      <c r="B1" s="104"/>
      <c r="C1" s="104"/>
      <c r="D1" s="104"/>
      <c r="E1" s="104"/>
      <c r="F1" s="189"/>
      <c r="G1" s="189"/>
      <c r="H1" s="120"/>
      <c r="I1" s="104"/>
      <c r="J1" s="185"/>
      <c r="K1" s="104"/>
    </row>
    <row r="2" spans="1:18" ht="39.950000000000003" customHeight="1" x14ac:dyDescent="0.25">
      <c r="A2" s="189" t="s">
        <v>116</v>
      </c>
      <c r="B2" s="104"/>
      <c r="C2" s="104"/>
      <c r="D2" s="104"/>
      <c r="E2" s="323" t="s">
        <v>422</v>
      </c>
      <c r="F2" s="323"/>
      <c r="G2" s="323"/>
      <c r="H2" s="323"/>
      <c r="I2" s="323"/>
      <c r="J2" s="323"/>
      <c r="K2" s="323"/>
      <c r="L2" s="323"/>
      <c r="M2" s="323"/>
    </row>
    <row r="3" spans="1:18" x14ac:dyDescent="0.25">
      <c r="A3" s="189" t="s">
        <v>371</v>
      </c>
      <c r="B3" s="104"/>
      <c r="C3" s="104"/>
      <c r="D3" s="104"/>
      <c r="E3" s="104"/>
      <c r="F3" s="189"/>
      <c r="G3" s="189"/>
      <c r="H3" s="120"/>
      <c r="I3" s="104"/>
      <c r="K3" s="104"/>
    </row>
    <row r="4" spans="1:18" x14ac:dyDescent="0.25">
      <c r="A4" s="190" t="s">
        <v>85</v>
      </c>
      <c r="B4" s="104"/>
      <c r="C4" s="104"/>
      <c r="D4" s="104"/>
      <c r="E4" s="104"/>
      <c r="F4" s="189"/>
      <c r="G4" s="189"/>
      <c r="H4" s="120"/>
      <c r="I4" s="104"/>
      <c r="J4" s="104"/>
      <c r="K4" s="104"/>
    </row>
    <row r="5" spans="1:18" x14ac:dyDescent="0.25">
      <c r="A5" s="191" t="s">
        <v>85</v>
      </c>
      <c r="B5" s="104"/>
      <c r="C5" s="104"/>
      <c r="D5" s="104"/>
      <c r="E5" s="104"/>
      <c r="F5" s="189"/>
      <c r="G5" s="189"/>
      <c r="H5" s="120"/>
      <c r="I5" s="104"/>
      <c r="J5" s="104"/>
      <c r="K5" s="180"/>
    </row>
    <row r="6" spans="1:18" ht="43.5" x14ac:dyDescent="0.25">
      <c r="A6" s="192"/>
      <c r="B6" s="202" t="s">
        <v>151</v>
      </c>
      <c r="C6" s="202"/>
      <c r="D6" s="202" t="s">
        <v>152</v>
      </c>
      <c r="E6" s="202" t="s">
        <v>153</v>
      </c>
      <c r="F6" s="203" t="s">
        <v>154</v>
      </c>
      <c r="G6" s="203" t="s">
        <v>155</v>
      </c>
      <c r="H6" s="204" t="s">
        <v>156</v>
      </c>
      <c r="I6" s="202" t="s">
        <v>157</v>
      </c>
      <c r="J6" s="202" t="s">
        <v>158</v>
      </c>
      <c r="K6" s="205" t="s">
        <v>159</v>
      </c>
      <c r="L6" s="200" t="s">
        <v>295</v>
      </c>
      <c r="M6" s="200" t="s">
        <v>314</v>
      </c>
    </row>
    <row r="7" spans="1:18" ht="53.25" customHeight="1" x14ac:dyDescent="0.25">
      <c r="A7" s="254" t="s">
        <v>372</v>
      </c>
      <c r="B7" s="175">
        <f>'2022 Est. CAM Pools'!M38</f>
        <v>250437.55</v>
      </c>
      <c r="C7" s="175"/>
      <c r="D7" s="175">
        <v>4510</v>
      </c>
      <c r="E7" s="175">
        <v>41893</v>
      </c>
      <c r="F7" s="297">
        <f t="shared" ref="F7:F13" si="0">+D7/E7</f>
        <v>0.10765521686200559</v>
      </c>
      <c r="G7" s="206">
        <v>365</v>
      </c>
      <c r="H7" s="117">
        <f t="shared" ref="H7:H13" si="1">+G7/365</f>
        <v>1</v>
      </c>
      <c r="I7" s="298">
        <f>+B7*F7*H7</f>
        <v>26960.908755639368</v>
      </c>
      <c r="J7" s="298">
        <f>1493*12</f>
        <v>17916</v>
      </c>
      <c r="K7" s="299">
        <f>+I7-J7</f>
        <v>9044.9087556393679</v>
      </c>
      <c r="L7" s="206" t="s">
        <v>392</v>
      </c>
      <c r="M7" s="207" t="s">
        <v>377</v>
      </c>
      <c r="N7" s="64"/>
      <c r="O7" s="64"/>
      <c r="P7" s="64"/>
      <c r="Q7" s="64"/>
      <c r="R7" s="64"/>
    </row>
    <row r="8" spans="1:18" ht="116.25" customHeight="1" x14ac:dyDescent="0.25">
      <c r="A8" s="208" t="s">
        <v>373</v>
      </c>
      <c r="B8" s="210">
        <f>'2022 Est. CAM Pools'!D38</f>
        <v>120062.73</v>
      </c>
      <c r="C8" s="210"/>
      <c r="D8" s="210">
        <v>2715</v>
      </c>
      <c r="E8" s="210">
        <v>42113</v>
      </c>
      <c r="F8" s="218">
        <f t="shared" si="0"/>
        <v>6.4469403747061477E-2</v>
      </c>
      <c r="G8" s="70">
        <v>365</v>
      </c>
      <c r="H8" s="209">
        <f t="shared" si="1"/>
        <v>1</v>
      </c>
      <c r="I8" s="219">
        <f>+B8*F8*H8</f>
        <v>7740.3726153444304</v>
      </c>
      <c r="J8" s="219">
        <f>383*12</f>
        <v>4596</v>
      </c>
      <c r="K8" s="264">
        <f>+I8-J8</f>
        <v>3144.3726153444304</v>
      </c>
      <c r="L8" s="50" t="s">
        <v>407</v>
      </c>
      <c r="M8" s="211" t="s">
        <v>378</v>
      </c>
    </row>
    <row r="9" spans="1:18" ht="110.25" customHeight="1" x14ac:dyDescent="0.25">
      <c r="A9" s="208" t="s">
        <v>374</v>
      </c>
      <c r="B9" s="222">
        <f>'2022 Est. CAM Pools'!J38</f>
        <v>53496.851100000007</v>
      </c>
      <c r="C9" s="210"/>
      <c r="D9" s="210">
        <v>31385</v>
      </c>
      <c r="E9" s="210">
        <v>42113</v>
      </c>
      <c r="F9" s="218">
        <f t="shared" si="0"/>
        <v>0.74525680906133496</v>
      </c>
      <c r="G9" s="70">
        <v>365</v>
      </c>
      <c r="H9" s="209">
        <f t="shared" si="1"/>
        <v>1</v>
      </c>
      <c r="I9" s="219">
        <f>+B9*F9*H9</f>
        <v>39868.892545615374</v>
      </c>
      <c r="J9" s="219">
        <f>3104*12</f>
        <v>37248</v>
      </c>
      <c r="K9" s="264">
        <f>+I9-J9</f>
        <v>2620.8925456153738</v>
      </c>
      <c r="L9" s="280" t="s">
        <v>408</v>
      </c>
      <c r="M9" s="211" t="s">
        <v>381</v>
      </c>
    </row>
    <row r="10" spans="1:18" x14ac:dyDescent="0.25">
      <c r="A10" s="208" t="s">
        <v>375</v>
      </c>
      <c r="B10" s="216" t="s">
        <v>160</v>
      </c>
      <c r="C10" s="210" t="s">
        <v>85</v>
      </c>
      <c r="D10" s="210">
        <v>5160</v>
      </c>
      <c r="E10" s="210">
        <v>54573</v>
      </c>
      <c r="F10" s="218">
        <f t="shared" si="0"/>
        <v>9.4552251113187838E-2</v>
      </c>
      <c r="G10" s="70">
        <v>365</v>
      </c>
      <c r="H10" s="209">
        <f t="shared" si="1"/>
        <v>1</v>
      </c>
      <c r="I10" s="219">
        <v>0</v>
      </c>
      <c r="J10" s="219">
        <v>0</v>
      </c>
      <c r="K10" s="264">
        <f t="shared" ref="K10" si="2">+I10-J10</f>
        <v>0</v>
      </c>
      <c r="L10" s="70"/>
      <c r="M10" s="70"/>
    </row>
    <row r="11" spans="1:18" ht="45" x14ac:dyDescent="0.25">
      <c r="A11" s="208" t="s">
        <v>401</v>
      </c>
      <c r="B11" s="216">
        <f>'2022 Est. CAM Pools'!P38</f>
        <v>130044.81100000002</v>
      </c>
      <c r="C11" s="210"/>
      <c r="D11" s="210">
        <v>5300</v>
      </c>
      <c r="E11" s="210">
        <v>53973</v>
      </c>
      <c r="F11" s="218">
        <f t="shared" si="0"/>
        <v>9.8197246771533922E-2</v>
      </c>
      <c r="G11" s="70">
        <v>365</v>
      </c>
      <c r="H11" s="209">
        <f t="shared" si="1"/>
        <v>1</v>
      </c>
      <c r="I11" s="219">
        <f>+B11*F11*H11</f>
        <v>12770.042397124491</v>
      </c>
      <c r="J11" s="219">
        <f>715*12</f>
        <v>8580</v>
      </c>
      <c r="K11" s="264">
        <f>+I11-J11</f>
        <v>4190.0423971244909</v>
      </c>
      <c r="L11" s="70"/>
      <c r="M11" s="211" t="s">
        <v>386</v>
      </c>
    </row>
    <row r="12" spans="1:18" ht="81" customHeight="1" x14ac:dyDescent="0.25">
      <c r="A12" s="208" t="s">
        <v>376</v>
      </c>
      <c r="B12" s="210">
        <f>'2022 Est. CAM Pools'!J38</f>
        <v>53496.851100000007</v>
      </c>
      <c r="C12" s="210" t="s">
        <v>85</v>
      </c>
      <c r="D12" s="210">
        <v>2000</v>
      </c>
      <c r="E12" s="210">
        <v>53973</v>
      </c>
      <c r="F12" s="218">
        <f t="shared" si="0"/>
        <v>3.705556481944676E-2</v>
      </c>
      <c r="G12" s="70">
        <v>365</v>
      </c>
      <c r="H12" s="209">
        <f t="shared" si="1"/>
        <v>1</v>
      </c>
      <c r="I12" s="219">
        <f>+B12*F12*H12</f>
        <v>1982.3560335723419</v>
      </c>
      <c r="J12" s="219">
        <f>162*12</f>
        <v>1944</v>
      </c>
      <c r="K12" s="264">
        <f>+I12-J12</f>
        <v>38.356033572341858</v>
      </c>
      <c r="L12" s="279" t="s">
        <v>402</v>
      </c>
      <c r="M12" s="211" t="s">
        <v>389</v>
      </c>
    </row>
    <row r="13" spans="1:18" x14ac:dyDescent="0.25">
      <c r="A13" s="208" t="s">
        <v>161</v>
      </c>
      <c r="B13" s="212"/>
      <c r="C13" s="210" t="s">
        <v>85</v>
      </c>
      <c r="D13" s="210">
        <v>3503</v>
      </c>
      <c r="E13" s="210">
        <f>D15</f>
        <v>54573</v>
      </c>
      <c r="F13" s="218">
        <f t="shared" si="0"/>
        <v>6.4189251094863758E-2</v>
      </c>
      <c r="G13" s="70">
        <v>365</v>
      </c>
      <c r="H13" s="209">
        <f t="shared" si="1"/>
        <v>1</v>
      </c>
      <c r="I13" s="219">
        <v>0</v>
      </c>
      <c r="J13" s="219">
        <v>0</v>
      </c>
      <c r="K13" s="264"/>
      <c r="L13" s="70"/>
      <c r="M13" s="213"/>
    </row>
    <row r="14" spans="1:18" x14ac:dyDescent="0.25">
      <c r="A14" s="189"/>
      <c r="B14" s="111"/>
      <c r="C14" s="152"/>
      <c r="D14" s="152"/>
      <c r="E14" s="152"/>
      <c r="F14" s="197"/>
      <c r="H14" s="111"/>
      <c r="I14" s="220"/>
      <c r="J14" s="220"/>
      <c r="K14" s="265"/>
      <c r="M14" s="44"/>
    </row>
    <row r="15" spans="1:18" ht="15.75" thickBot="1" x14ac:dyDescent="0.3">
      <c r="A15" s="214" t="s">
        <v>102</v>
      </c>
      <c r="B15" s="179"/>
      <c r="C15" s="179"/>
      <c r="D15" s="179">
        <f>SUM(D7:D13)</f>
        <v>54573</v>
      </c>
      <c r="E15" s="179"/>
      <c r="F15" s="217">
        <f>D15/$D$15</f>
        <v>1</v>
      </c>
      <c r="G15" s="214"/>
      <c r="H15" s="145"/>
      <c r="I15" s="221">
        <f>SUM(I7:I13)</f>
        <v>89322.572347296009</v>
      </c>
      <c r="J15" s="221">
        <f>SUM(J7:J13)</f>
        <v>70284</v>
      </c>
      <c r="K15" s="221">
        <f>SUM(K7:K13)</f>
        <v>19038.572347296005</v>
      </c>
    </row>
    <row r="16" spans="1:18" ht="15.75" thickTop="1" x14ac:dyDescent="0.25">
      <c r="B16" s="152"/>
      <c r="C16" s="152"/>
      <c r="D16" s="152" t="s">
        <v>85</v>
      </c>
      <c r="E16" s="152"/>
      <c r="F16" s="1" t="s">
        <v>85</v>
      </c>
      <c r="G16" s="189"/>
      <c r="H16" s="120"/>
      <c r="I16" s="104"/>
      <c r="J16" s="104"/>
      <c r="K16" s="198"/>
    </row>
    <row r="17" spans="1:11" x14ac:dyDescent="0.25">
      <c r="B17" s="152"/>
      <c r="C17" s="152"/>
      <c r="D17" s="152"/>
      <c r="E17" s="152"/>
      <c r="G17" s="189"/>
      <c r="H17" s="120"/>
      <c r="I17" s="104"/>
      <c r="J17" s="104"/>
      <c r="K17" s="198"/>
    </row>
    <row r="18" spans="1:11" x14ac:dyDescent="0.25">
      <c r="B18" s="152"/>
      <c r="C18" s="152"/>
      <c r="D18" s="152"/>
      <c r="E18" s="152"/>
      <c r="G18" s="189"/>
      <c r="H18" s="120"/>
      <c r="I18" s="104"/>
      <c r="J18" s="104"/>
      <c r="K18" s="198"/>
    </row>
    <row r="19" spans="1:11" x14ac:dyDescent="0.25">
      <c r="B19" s="152"/>
      <c r="C19" s="152"/>
      <c r="D19" s="152"/>
      <c r="E19" s="152"/>
      <c r="G19" s="189"/>
      <c r="H19" s="120"/>
      <c r="I19" s="104"/>
      <c r="J19" s="104"/>
      <c r="K19" s="198"/>
    </row>
    <row r="20" spans="1:11" x14ac:dyDescent="0.25">
      <c r="B20" s="152"/>
      <c r="C20" s="152"/>
      <c r="D20" s="152"/>
      <c r="E20" s="152"/>
      <c r="G20" s="189"/>
      <c r="H20" s="120"/>
      <c r="I20" s="104"/>
      <c r="J20" s="104"/>
      <c r="K20" s="198"/>
    </row>
    <row r="21" spans="1:11" x14ac:dyDescent="0.25">
      <c r="B21" s="152"/>
      <c r="C21" s="152"/>
      <c r="D21" s="152"/>
      <c r="E21" s="152"/>
      <c r="G21" s="189"/>
      <c r="H21" s="120"/>
      <c r="I21" s="104"/>
      <c r="J21" s="104"/>
      <c r="K21" s="198"/>
    </row>
    <row r="22" spans="1:11" x14ac:dyDescent="0.25">
      <c r="A22" s="44"/>
      <c r="B22" s="152"/>
      <c r="C22" s="152"/>
      <c r="D22" s="152"/>
      <c r="E22" s="152"/>
      <c r="H22" s="111"/>
      <c r="I22" s="152"/>
      <c r="J22" s="152"/>
      <c r="K22" s="165"/>
    </row>
    <row r="23" spans="1:11" x14ac:dyDescent="0.25">
      <c r="A23" s="1" t="s">
        <v>311</v>
      </c>
      <c r="J23" s="152"/>
      <c r="K23" s="165"/>
    </row>
    <row r="24" spans="1:11" x14ac:dyDescent="0.25">
      <c r="A24" s="1" t="s">
        <v>307</v>
      </c>
      <c r="J24" s="152"/>
      <c r="K24" s="152"/>
    </row>
    <row r="25" spans="1:11" x14ac:dyDescent="0.25">
      <c r="A25" s="1" t="s">
        <v>85</v>
      </c>
      <c r="B25" s="152"/>
      <c r="C25" s="152"/>
      <c r="D25" s="152"/>
      <c r="E25" s="152"/>
      <c r="H25" s="111"/>
      <c r="I25" s="152"/>
      <c r="J25" s="152"/>
      <c r="K25" s="152"/>
    </row>
    <row r="26" spans="1:11" x14ac:dyDescent="0.25">
      <c r="A26" s="73" t="s">
        <v>308</v>
      </c>
      <c r="B26" s="152"/>
      <c r="C26" s="152"/>
      <c r="D26" s="152"/>
      <c r="E26" s="152"/>
      <c r="H26" s="111"/>
      <c r="I26" s="152"/>
      <c r="J26" s="152"/>
      <c r="K26" s="152"/>
    </row>
    <row r="27" spans="1:11" x14ac:dyDescent="0.25">
      <c r="A27" s="1" t="s">
        <v>172</v>
      </c>
      <c r="B27" s="152"/>
      <c r="C27" s="152"/>
      <c r="D27" s="152"/>
      <c r="E27" s="152"/>
      <c r="H27" s="111"/>
      <c r="I27" s="152"/>
      <c r="K27" s="152"/>
    </row>
    <row r="28" spans="1:11" x14ac:dyDescent="0.25">
      <c r="A28" s="1" t="s">
        <v>173</v>
      </c>
      <c r="K28" s="152"/>
    </row>
    <row r="29" spans="1:11" x14ac:dyDescent="0.25">
      <c r="J29" s="199"/>
      <c r="K29" s="199"/>
    </row>
    <row r="30" spans="1:11" x14ac:dyDescent="0.25">
      <c r="A30" s="73" t="s">
        <v>309</v>
      </c>
      <c r="H30" s="111"/>
      <c r="I30" s="152"/>
      <c r="J30" s="152"/>
      <c r="K30" s="152"/>
    </row>
    <row r="31" spans="1:11" x14ac:dyDescent="0.25">
      <c r="A31" s="73"/>
      <c r="H31" s="111"/>
      <c r="I31" s="152"/>
      <c r="J31" s="152"/>
      <c r="K31" s="152"/>
    </row>
    <row r="32" spans="1:11" x14ac:dyDescent="0.25">
      <c r="A32" s="1" t="s">
        <v>310</v>
      </c>
      <c r="B32" s="152"/>
      <c r="C32" s="152"/>
      <c r="D32" s="152"/>
      <c r="E32" s="152"/>
      <c r="H32" s="111"/>
      <c r="I32" s="152"/>
      <c r="J32" s="152"/>
      <c r="K32" s="152"/>
    </row>
    <row r="33" spans="1:11" x14ac:dyDescent="0.25">
      <c r="B33" s="152"/>
      <c r="C33" s="152"/>
      <c r="D33" s="152"/>
      <c r="E33" s="152"/>
      <c r="H33" s="111"/>
      <c r="I33" s="152"/>
      <c r="J33" s="152"/>
    </row>
    <row r="34" spans="1:11" x14ac:dyDescent="0.25">
      <c r="A34" s="73" t="s">
        <v>328</v>
      </c>
      <c r="H34" s="111"/>
      <c r="I34" s="152"/>
      <c r="J34" s="152"/>
    </row>
    <row r="36" spans="1:11" x14ac:dyDescent="0.25">
      <c r="A36" s="1" t="s">
        <v>85</v>
      </c>
    </row>
    <row r="37" spans="1:11" ht="90.95" customHeight="1" x14ac:dyDescent="0.25">
      <c r="A37" s="324" t="s">
        <v>423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4"/>
    </row>
  </sheetData>
  <mergeCells count="2">
    <mergeCell ref="E2:M2"/>
    <mergeCell ref="A37:K37"/>
  </mergeCells>
  <pageMargins left="0.7" right="0.7" top="0.75" bottom="0.75" header="0.3" footer="0.3"/>
  <pageSetup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33DD-AC47-48FC-972D-AC9939EAF71E}">
  <sheetPr>
    <tabColor theme="2"/>
    <pageSetUpPr fitToPage="1"/>
  </sheetPr>
  <dimension ref="A1:N38"/>
  <sheetViews>
    <sheetView workbookViewId="0">
      <selection activeCell="F23" sqref="F23"/>
    </sheetView>
  </sheetViews>
  <sheetFormatPr defaultColWidth="8.85546875" defaultRowHeight="15" x14ac:dyDescent="0.25"/>
  <cols>
    <col min="1" max="1" width="8.85546875" style="1"/>
    <col min="2" max="2" width="30.7109375" style="1" customWidth="1"/>
    <col min="3" max="3" width="12.42578125" style="1" bestFit="1" customWidth="1"/>
    <col min="4" max="4" width="2.7109375" style="1" customWidth="1"/>
    <col min="5" max="5" width="10.28515625" style="1" bestFit="1" customWidth="1"/>
    <col min="6" max="6" width="10.28515625" style="1" customWidth="1"/>
    <col min="7" max="7" width="10.7109375" style="1" customWidth="1"/>
    <col min="8" max="8" width="11" style="1" customWidth="1"/>
    <col min="9" max="9" width="9.42578125" style="1" bestFit="1" customWidth="1"/>
    <col min="10" max="10" width="11.7109375" style="1" customWidth="1"/>
    <col min="11" max="11" width="10.140625" style="1" customWidth="1"/>
    <col min="12" max="12" width="15.140625" style="1" customWidth="1"/>
    <col min="13" max="13" width="40" style="1" customWidth="1"/>
    <col min="14" max="14" width="32.85546875" style="1" customWidth="1"/>
    <col min="15" max="16384" width="8.85546875" style="1"/>
  </cols>
  <sheetData>
    <row r="1" spans="1:14" x14ac:dyDescent="0.25">
      <c r="A1" s="189"/>
      <c r="B1" s="189" t="s">
        <v>115</v>
      </c>
      <c r="C1" s="104"/>
      <c r="D1" s="103"/>
      <c r="E1" s="104"/>
      <c r="F1" s="104" t="s">
        <v>85</v>
      </c>
      <c r="G1" s="189"/>
      <c r="H1" s="189"/>
      <c r="I1" s="120"/>
      <c r="J1" s="104"/>
    </row>
    <row r="2" spans="1:14" x14ac:dyDescent="0.25">
      <c r="A2" s="189"/>
      <c r="B2" s="189" t="s">
        <v>116</v>
      </c>
      <c r="C2" s="104"/>
      <c r="D2" s="103"/>
      <c r="E2" s="104"/>
      <c r="F2" s="104"/>
      <c r="G2" s="189"/>
      <c r="H2" s="189"/>
      <c r="I2" s="120"/>
      <c r="J2" s="104"/>
    </row>
    <row r="3" spans="1:14" x14ac:dyDescent="0.25">
      <c r="A3" s="189"/>
      <c r="B3" s="189" t="s">
        <v>397</v>
      </c>
      <c r="C3" s="104"/>
      <c r="D3" s="103"/>
      <c r="E3" s="104"/>
      <c r="F3" s="104"/>
      <c r="G3" s="189"/>
      <c r="H3" s="189"/>
      <c r="I3" s="120"/>
      <c r="J3" s="104"/>
    </row>
    <row r="4" spans="1:14" x14ac:dyDescent="0.25">
      <c r="A4" s="189"/>
      <c r="B4" s="223" t="s">
        <v>85</v>
      </c>
      <c r="C4" s="104"/>
      <c r="D4" s="103"/>
      <c r="E4" s="104"/>
      <c r="F4" s="104"/>
      <c r="G4" s="224"/>
      <c r="H4" s="1" t="s">
        <v>162</v>
      </c>
      <c r="I4" s="120"/>
      <c r="J4" s="104"/>
    </row>
    <row r="5" spans="1:14" x14ac:dyDescent="0.25">
      <c r="A5" s="189"/>
      <c r="B5" s="225"/>
      <c r="C5" s="104"/>
      <c r="D5" s="103"/>
      <c r="E5" s="104"/>
      <c r="F5" s="104"/>
      <c r="G5" s="189"/>
      <c r="H5" s="1" t="s">
        <v>85</v>
      </c>
      <c r="I5" s="120"/>
      <c r="J5" s="104"/>
    </row>
    <row r="6" spans="1:14" ht="43.5" x14ac:dyDescent="0.25">
      <c r="A6" s="192"/>
      <c r="B6" s="192"/>
      <c r="C6" s="312" t="s">
        <v>151</v>
      </c>
      <c r="D6" s="253" t="s">
        <v>85</v>
      </c>
      <c r="E6" s="202" t="s">
        <v>152</v>
      </c>
      <c r="F6" s="202" t="s">
        <v>153</v>
      </c>
      <c r="G6" s="203" t="s">
        <v>163</v>
      </c>
      <c r="H6" s="203" t="s">
        <v>155</v>
      </c>
      <c r="I6" s="204" t="s">
        <v>156</v>
      </c>
      <c r="J6" s="202" t="s">
        <v>399</v>
      </c>
      <c r="K6" s="202" t="s">
        <v>164</v>
      </c>
      <c r="L6" s="205" t="s">
        <v>165</v>
      </c>
      <c r="M6" s="200" t="s">
        <v>313</v>
      </c>
    </row>
    <row r="7" spans="1:14" x14ac:dyDescent="0.25">
      <c r="A7" s="226"/>
      <c r="B7" s="254" t="s">
        <v>372</v>
      </c>
      <c r="C7" s="313">
        <v>0</v>
      </c>
      <c r="D7" s="170"/>
      <c r="E7" s="175">
        <v>4510</v>
      </c>
      <c r="F7" s="175">
        <v>41893</v>
      </c>
      <c r="G7" s="255">
        <f>E7/F7</f>
        <v>0.10765521686200559</v>
      </c>
      <c r="H7" s="206">
        <v>365</v>
      </c>
      <c r="I7" s="116">
        <f t="shared" ref="I7:I13" si="0">+H7/365</f>
        <v>1</v>
      </c>
      <c r="J7" s="256">
        <f>+C7*G7</f>
        <v>0</v>
      </c>
      <c r="K7" s="257">
        <v>0</v>
      </c>
      <c r="L7" s="258">
        <f t="shared" ref="L7:L12" si="1">+J7-K7</f>
        <v>0</v>
      </c>
      <c r="M7" s="206"/>
    </row>
    <row r="8" spans="1:14" ht="45" x14ac:dyDescent="0.25">
      <c r="B8" s="208" t="s">
        <v>373</v>
      </c>
      <c r="C8" s="314">
        <f>L18</f>
        <v>67200</v>
      </c>
      <c r="D8" s="210"/>
      <c r="E8" s="210">
        <v>2715</v>
      </c>
      <c r="F8" s="210">
        <v>42113</v>
      </c>
      <c r="G8" s="218">
        <f>E8/F8</f>
        <v>6.4469403747061477E-2</v>
      </c>
      <c r="H8" s="70">
        <v>365</v>
      </c>
      <c r="I8" s="209">
        <f t="shared" si="0"/>
        <v>1</v>
      </c>
      <c r="J8" s="286">
        <f t="shared" ref="J8:J13" si="2">+C8*G8*I8</f>
        <v>4332.3439318025312</v>
      </c>
      <c r="K8" s="284">
        <f>267*12</f>
        <v>3204</v>
      </c>
      <c r="L8" s="285">
        <f t="shared" si="1"/>
        <v>1128.3439318025312</v>
      </c>
      <c r="M8" s="211" t="s">
        <v>379</v>
      </c>
    </row>
    <row r="9" spans="1:14" ht="45" x14ac:dyDescent="0.25">
      <c r="B9" s="208" t="s">
        <v>393</v>
      </c>
      <c r="C9" s="314">
        <f>L18</f>
        <v>67200</v>
      </c>
      <c r="D9" s="210"/>
      <c r="E9" s="210">
        <v>31385</v>
      </c>
      <c r="F9" s="210">
        <v>42113</v>
      </c>
      <c r="G9" s="218">
        <f>E9/F9</f>
        <v>0.74525680906133496</v>
      </c>
      <c r="H9" s="70">
        <v>365</v>
      </c>
      <c r="I9" s="209">
        <f t="shared" si="0"/>
        <v>1</v>
      </c>
      <c r="J9" s="286">
        <f t="shared" si="2"/>
        <v>50081.257568921712</v>
      </c>
      <c r="K9" s="284">
        <f>3087*12</f>
        <v>37044</v>
      </c>
      <c r="L9" s="285">
        <f>+J9-K9</f>
        <v>13037.257568921712</v>
      </c>
      <c r="M9" s="211" t="s">
        <v>382</v>
      </c>
    </row>
    <row r="10" spans="1:14" ht="45" x14ac:dyDescent="0.25">
      <c r="B10" s="259" t="s">
        <v>394</v>
      </c>
      <c r="C10" s="314">
        <f>L19</f>
        <v>22728</v>
      </c>
      <c r="D10" s="261" t="s">
        <v>85</v>
      </c>
      <c r="E10" s="261">
        <v>5160</v>
      </c>
      <c r="F10" s="261">
        <v>9860</v>
      </c>
      <c r="G10" s="282">
        <f>E10/F10</f>
        <v>0.52332657200811361</v>
      </c>
      <c r="H10" s="70">
        <v>365</v>
      </c>
      <c r="I10" s="260">
        <f t="shared" si="0"/>
        <v>1</v>
      </c>
      <c r="J10" s="283">
        <f>+C10*G10*I10</f>
        <v>11894.166328600406</v>
      </c>
      <c r="K10" s="284">
        <v>0</v>
      </c>
      <c r="L10" s="285">
        <f t="shared" si="1"/>
        <v>11894.166328600406</v>
      </c>
      <c r="M10" s="211" t="s">
        <v>384</v>
      </c>
      <c r="N10" s="44"/>
    </row>
    <row r="11" spans="1:14" ht="45" x14ac:dyDescent="0.25">
      <c r="B11" s="208" t="s">
        <v>395</v>
      </c>
      <c r="C11" s="315">
        <f>L20</f>
        <v>89928</v>
      </c>
      <c r="D11" s="210"/>
      <c r="E11" s="210">
        <v>5300</v>
      </c>
      <c r="F11" s="210">
        <v>53973</v>
      </c>
      <c r="G11" s="218">
        <f>E11/F11</f>
        <v>9.8197246771533922E-2</v>
      </c>
      <c r="H11" s="70">
        <v>365</v>
      </c>
      <c r="I11" s="209">
        <f t="shared" si="0"/>
        <v>1</v>
      </c>
      <c r="J11" s="286">
        <f t="shared" si="2"/>
        <v>8830.6820076705026</v>
      </c>
      <c r="K11" s="284">
        <f>591*12</f>
        <v>7092</v>
      </c>
      <c r="L11" s="285">
        <f t="shared" si="1"/>
        <v>1738.6820076705026</v>
      </c>
      <c r="M11" s="211" t="s">
        <v>387</v>
      </c>
    </row>
    <row r="12" spans="1:14" ht="45" x14ac:dyDescent="0.25">
      <c r="B12" s="259" t="s">
        <v>396</v>
      </c>
      <c r="C12" s="315">
        <f>L21</f>
        <v>7404</v>
      </c>
      <c r="D12" s="261" t="s">
        <v>85</v>
      </c>
      <c r="E12" s="261">
        <v>2000</v>
      </c>
      <c r="F12" s="261">
        <v>2000</v>
      </c>
      <c r="G12" s="281">
        <v>1</v>
      </c>
      <c r="H12" s="70">
        <v>365</v>
      </c>
      <c r="I12" s="260">
        <f t="shared" si="0"/>
        <v>1</v>
      </c>
      <c r="J12" s="283">
        <f>+C12</f>
        <v>7404</v>
      </c>
      <c r="K12" s="284">
        <v>0</v>
      </c>
      <c r="L12" s="285">
        <f t="shared" si="1"/>
        <v>7404</v>
      </c>
      <c r="M12" s="211" t="s">
        <v>390</v>
      </c>
    </row>
    <row r="13" spans="1:14" x14ac:dyDescent="0.25">
      <c r="B13" s="208" t="s">
        <v>161</v>
      </c>
      <c r="C13" s="260">
        <v>0</v>
      </c>
      <c r="D13" s="261" t="s">
        <v>85</v>
      </c>
      <c r="E13" s="261">
        <v>3503</v>
      </c>
      <c r="F13" s="261">
        <v>42113</v>
      </c>
      <c r="G13" s="262">
        <f>E13/F13</f>
        <v>8.3180965497589812E-2</v>
      </c>
      <c r="H13" s="70">
        <v>365</v>
      </c>
      <c r="I13" s="260">
        <f t="shared" si="0"/>
        <v>1</v>
      </c>
      <c r="J13" s="283">
        <f t="shared" si="2"/>
        <v>0</v>
      </c>
      <c r="K13" s="70"/>
      <c r="L13" s="266"/>
      <c r="M13" s="70"/>
    </row>
    <row r="14" spans="1:14" x14ac:dyDescent="0.25">
      <c r="B14" s="189"/>
      <c r="C14" s="111"/>
      <c r="D14" s="152"/>
      <c r="F14" s="152"/>
      <c r="G14" s="197"/>
      <c r="I14" s="111"/>
      <c r="J14" s="243"/>
      <c r="L14" s="267"/>
    </row>
    <row r="15" spans="1:14" ht="15.75" thickBot="1" x14ac:dyDescent="0.3">
      <c r="B15" s="269" t="s">
        <v>1</v>
      </c>
      <c r="C15" s="179"/>
      <c r="D15" s="179"/>
      <c r="E15" s="179">
        <f>SUM(E7:E13)</f>
        <v>54573</v>
      </c>
      <c r="F15" s="179"/>
      <c r="G15" s="215" t="s">
        <v>85</v>
      </c>
      <c r="H15" s="214"/>
      <c r="I15" s="214"/>
      <c r="J15" s="268">
        <f>SUM(J7:J13)</f>
        <v>82542.449836995162</v>
      </c>
      <c r="K15" s="287">
        <f>SUM(K7:K13)</f>
        <v>47340</v>
      </c>
      <c r="L15" s="287">
        <f>SUM(L7:L13)</f>
        <v>35202.449836995154</v>
      </c>
    </row>
    <row r="16" spans="1:14" ht="16.5" thickTop="1" thickBot="1" x14ac:dyDescent="0.3">
      <c r="B16" s="244"/>
      <c r="C16" s="199"/>
      <c r="D16" s="199"/>
      <c r="E16" s="199"/>
      <c r="F16" s="199"/>
      <c r="G16" s="197"/>
      <c r="J16" s="245"/>
      <c r="K16" s="245"/>
      <c r="L16" s="245"/>
    </row>
    <row r="17" spans="1:13" x14ac:dyDescent="0.25">
      <c r="B17" s="244"/>
      <c r="C17" s="199"/>
      <c r="D17" s="199"/>
      <c r="E17" s="199"/>
      <c r="F17" s="199"/>
      <c r="G17" s="197"/>
      <c r="J17" s="246" t="s">
        <v>400</v>
      </c>
      <c r="K17" s="242"/>
      <c r="L17" s="247"/>
    </row>
    <row r="18" spans="1:13" x14ac:dyDescent="0.25">
      <c r="B18" s="244"/>
      <c r="C18" s="199"/>
      <c r="D18" s="199"/>
      <c r="E18" s="199"/>
      <c r="F18" s="199"/>
      <c r="G18" s="197"/>
      <c r="J18" s="248" t="s">
        <v>166</v>
      </c>
      <c r="L18" s="249">
        <f>'2022 Reforecast'!O48</f>
        <v>67200</v>
      </c>
      <c r="M18" s="1" t="s">
        <v>327</v>
      </c>
    </row>
    <row r="19" spans="1:13" x14ac:dyDescent="0.25">
      <c r="B19" s="244"/>
      <c r="C19" s="199"/>
      <c r="D19" s="199"/>
      <c r="E19" s="199"/>
      <c r="F19" s="199"/>
      <c r="G19" s="197"/>
      <c r="J19" s="248" t="s">
        <v>167</v>
      </c>
      <c r="L19" s="250">
        <f>'2022 Reforecast'!O50</f>
        <v>22728</v>
      </c>
    </row>
    <row r="20" spans="1:13" x14ac:dyDescent="0.25">
      <c r="B20" s="244"/>
      <c r="C20" s="199"/>
      <c r="D20" s="199"/>
      <c r="E20" s="199"/>
      <c r="F20" s="199"/>
      <c r="G20" s="197"/>
      <c r="J20" s="248" t="s">
        <v>85</v>
      </c>
      <c r="L20" s="249">
        <f>SUM(L18:L19)</f>
        <v>89928</v>
      </c>
    </row>
    <row r="21" spans="1:13" x14ac:dyDescent="0.25">
      <c r="B21" s="244"/>
      <c r="C21" s="199"/>
      <c r="D21" s="199"/>
      <c r="E21" s="199"/>
      <c r="F21" s="199"/>
      <c r="G21" s="197"/>
      <c r="J21" s="248" t="s">
        <v>103</v>
      </c>
      <c r="L21" s="250">
        <f>'2022 Reforecast'!O49</f>
        <v>7404</v>
      </c>
    </row>
    <row r="22" spans="1:13" ht="15.75" thickBot="1" x14ac:dyDescent="0.3">
      <c r="J22" s="251"/>
      <c r="K22" s="231"/>
      <c r="L22" s="252">
        <f>SUM(L20:L21)</f>
        <v>97332</v>
      </c>
    </row>
    <row r="23" spans="1:13" x14ac:dyDescent="0.25">
      <c r="L23" s="245"/>
    </row>
    <row r="24" spans="1:13" x14ac:dyDescent="0.25">
      <c r="L24" s="245"/>
    </row>
    <row r="26" spans="1:13" x14ac:dyDescent="0.25">
      <c r="A26" s="44" t="s">
        <v>417</v>
      </c>
      <c r="B26" s="244"/>
      <c r="C26" s="199"/>
      <c r="D26" s="199"/>
      <c r="E26" s="199"/>
      <c r="F26" s="199"/>
      <c r="G26" s="197"/>
    </row>
    <row r="27" spans="1:13" x14ac:dyDescent="0.25">
      <c r="B27" s="189"/>
      <c r="E27" s="263" t="s">
        <v>85</v>
      </c>
    </row>
    <row r="28" spans="1:13" x14ac:dyDescent="0.25">
      <c r="B28" s="1" t="s">
        <v>316</v>
      </c>
    </row>
    <row r="29" spans="1:13" x14ac:dyDescent="0.25">
      <c r="C29" s="152"/>
      <c r="D29" s="152"/>
      <c r="E29" s="152"/>
    </row>
    <row r="30" spans="1:13" x14ac:dyDescent="0.25">
      <c r="B30" s="1" t="s">
        <v>317</v>
      </c>
      <c r="C30" s="152"/>
      <c r="D30" s="152"/>
      <c r="E30" s="152"/>
    </row>
    <row r="32" spans="1:13" x14ac:dyDescent="0.25">
      <c r="B32" s="1" t="s">
        <v>318</v>
      </c>
      <c r="L32" s="245"/>
    </row>
    <row r="33" spans="2:13" ht="47.25" customHeight="1" x14ac:dyDescent="0.25">
      <c r="K33" s="326"/>
      <c r="L33" s="326"/>
      <c r="M33" s="326"/>
    </row>
    <row r="34" spans="2:13" x14ac:dyDescent="0.25">
      <c r="B34" s="1" t="s">
        <v>320</v>
      </c>
    </row>
    <row r="35" spans="2:13" x14ac:dyDescent="0.25">
      <c r="B35" s="1" t="s">
        <v>168</v>
      </c>
    </row>
    <row r="37" spans="2:13" x14ac:dyDescent="0.25">
      <c r="B37" s="1" t="s">
        <v>319</v>
      </c>
    </row>
    <row r="38" spans="2:13" x14ac:dyDescent="0.25">
      <c r="E38" s="325"/>
      <c r="F38" s="325"/>
      <c r="G38" s="325"/>
      <c r="H38" s="325"/>
      <c r="I38" s="325"/>
      <c r="J38" s="325"/>
      <c r="K38" s="325"/>
      <c r="L38" s="325"/>
    </row>
  </sheetData>
  <mergeCells count="2">
    <mergeCell ref="E38:L38"/>
    <mergeCell ref="K33:M33"/>
  </mergeCells>
  <pageMargins left="0.7" right="0.7" top="0.75" bottom="0.75" header="0.3" footer="0.3"/>
  <pageSetup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DDA383D303147AB9B4538557BA3AB" ma:contentTypeVersion="17" ma:contentTypeDescription="Create a new document." ma:contentTypeScope="" ma:versionID="0eee322e7d98dacf3fc174964db662c7">
  <xsd:schema xmlns:xsd="http://www.w3.org/2001/XMLSchema" xmlns:xs="http://www.w3.org/2001/XMLSchema" xmlns:p="http://schemas.microsoft.com/office/2006/metadata/properties" xmlns:ns2="bce60e79-0688-41d8-b29b-a58d529c65b5" xmlns:ns3="1e58d4f7-259a-4861-905a-cdc05a25e5a3" targetNamespace="http://schemas.microsoft.com/office/2006/metadata/properties" ma:root="true" ma:fieldsID="76561b0047957073e374fb9d10efe633" ns2:_="" ns3:_="">
    <xsd:import namespace="bce60e79-0688-41d8-b29b-a58d529c65b5"/>
    <xsd:import namespace="1e58d4f7-259a-4861-905a-cdc05a25e5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DateModified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60e79-0688-41d8-b29b-a58d529c65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8d4f7-259a-4861-905a-cdc05a25e5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Modified" ma:index="23" nillable="true" ma:displayName="Date Modified" ma:format="DateOnly" ma:internalName="DateModified">
      <xsd:simpleType>
        <xsd:restriction base="dms:DateTime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1e58d4f7-259a-4861-905a-cdc05a25e5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EEA60-7F4F-432E-B66D-592359EBB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e60e79-0688-41d8-b29b-a58d529c65b5"/>
    <ds:schemaRef ds:uri="1e58d4f7-259a-4861-905a-cdc05a25e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3D630-6A5E-4822-B013-95F224EC9D0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ce60e79-0688-41d8-b29b-a58d529c65b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1e58d4f7-259a-4861-905a-cdc05a25e5a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931CB8-3504-46F1-B6AA-D57EE37F66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2023_BUDGET</vt:lpstr>
      <vt:lpstr>2022 Reforecast</vt:lpstr>
      <vt:lpstr>RENT</vt:lpstr>
      <vt:lpstr>CAM</vt:lpstr>
      <vt:lpstr>TAX</vt:lpstr>
      <vt:lpstr>INS</vt:lpstr>
      <vt:lpstr>2022 Est. CAM Pools</vt:lpstr>
      <vt:lpstr>2022 Est. CAM RECON</vt:lpstr>
      <vt:lpstr>2022 Est. TAX RECON</vt:lpstr>
      <vt:lpstr>2022 Est. INS RECON</vt:lpstr>
      <vt:lpstr>'2022 Est. CAM Pools'!Print_Area</vt:lpstr>
      <vt:lpstr>'2022 Est. CAM RECON'!Print_Area</vt:lpstr>
      <vt:lpstr>'2022 Est. INS RECON'!Print_Area</vt:lpstr>
      <vt:lpstr>'2022 Est. TAX RECON'!Print_Area</vt:lpstr>
      <vt:lpstr>'2023_BUDGET'!Print_Area</vt:lpstr>
      <vt:lpstr>RENT!Print_Area</vt:lpstr>
      <vt:lpstr>'2022 Reforecast'!Print_Titles</vt:lpstr>
      <vt:lpstr>'2023_BUDGET'!Print_Titles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Tewell</dc:creator>
  <cp:keywords/>
  <dc:description/>
  <cp:lastModifiedBy>Erin Langston</cp:lastModifiedBy>
  <cp:lastPrinted>2022-10-13T20:02:08Z</cp:lastPrinted>
  <dcterms:created xsi:type="dcterms:W3CDTF">2020-11-06T20:09:58Z</dcterms:created>
  <dcterms:modified xsi:type="dcterms:W3CDTF">2022-12-19T16:33:38Z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0x010100DF0DDA383D303147AB9B4538557BA3AB</vt:lpwstr>
  </property>
</Properties>
</file>