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langston\Desktop\Midland\"/>
    </mc:Choice>
  </mc:AlternateContent>
  <xr:revisionPtr revIDLastSave="0" documentId="8_{1C2C495E-3814-4E19-B1D5-F3B896415105}" xr6:coauthVersionLast="47" xr6:coauthVersionMax="47" xr10:uidLastSave="{00000000-0000-0000-0000-000000000000}"/>
  <bookViews>
    <workbookView xWindow="0" yWindow="555" windowWidth="25035" windowHeight="12795" firstSheet="1" activeTab="3" xr2:uid="{00000000-000D-0000-FFFF-FFFF00000000}"/>
  </bookViews>
  <sheets>
    <sheet name="2018 CAM Expense" sheetId="8" r:id="rId1"/>
    <sheet name="Summary" sheetId="6" r:id="rId2"/>
    <sheet name="20 CAM Pools" sheetId="5" r:id="rId3"/>
    <sheet name="20 CAM recovery" sheetId="2" r:id="rId4"/>
    <sheet name="20 tax recovery" sheetId="3" r:id="rId5"/>
    <sheet name="20 INS recovery" sheetId="4" r:id="rId6"/>
    <sheet name="chipolte" sheetId="7" state="hidden" r:id="rId7"/>
  </sheets>
  <definedNames>
    <definedName name="ADMINFEE" localSheetId="6">chipolte!$B$8</definedName>
    <definedName name="CMGPRS" localSheetId="6">chipolte!$B$11</definedName>
    <definedName name="_xlnm.Print_Area" localSheetId="2">'20 CAM Pools'!$A$1:$P$71</definedName>
    <definedName name="_xlnm.Print_Area" localSheetId="4">'20 tax recovery'!$A$1:$L$27</definedName>
    <definedName name="_xlnm.Print_Titles" localSheetId="2">'20 CAM Pools'!$A:$A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10" i="4"/>
  <c r="C9" i="4"/>
  <c r="H13" i="2" l="1"/>
  <c r="H12" i="2"/>
  <c r="H11" i="2"/>
  <c r="H10" i="2"/>
  <c r="H9" i="2"/>
  <c r="H8" i="2"/>
  <c r="H7" i="2"/>
  <c r="I13" i="3"/>
  <c r="I12" i="3"/>
  <c r="I11" i="3"/>
  <c r="I10" i="3"/>
  <c r="I9" i="3"/>
  <c r="I8" i="3"/>
  <c r="I7" i="3"/>
  <c r="I14" i="4"/>
  <c r="I13" i="4"/>
  <c r="I12" i="4"/>
  <c r="I11" i="4"/>
  <c r="I10" i="4"/>
  <c r="I9" i="4"/>
  <c r="I8" i="4"/>
  <c r="J45" i="5"/>
  <c r="B12" i="2"/>
  <c r="G45" i="5"/>
  <c r="B9" i="2" s="1"/>
  <c r="D45" i="5"/>
  <c r="B8" i="2" s="1"/>
  <c r="M37" i="5"/>
  <c r="J47" i="5" l="1"/>
  <c r="J49" i="5"/>
  <c r="G47" i="5"/>
  <c r="D47" i="5"/>
  <c r="D9" i="5"/>
  <c r="D49" i="5"/>
  <c r="P9" i="5"/>
  <c r="E14" i="8"/>
  <c r="D14" i="8"/>
  <c r="F5" i="8"/>
  <c r="F6" i="8"/>
  <c r="F7" i="8"/>
  <c r="F8" i="8"/>
  <c r="F9" i="8"/>
  <c r="F10" i="8"/>
  <c r="F11" i="8"/>
  <c r="F12" i="8"/>
  <c r="F13" i="8"/>
  <c r="F4" i="8"/>
  <c r="F14" i="8"/>
  <c r="E15" i="4"/>
  <c r="E14" i="3"/>
  <c r="C12" i="3"/>
  <c r="C10" i="3"/>
  <c r="C9" i="3"/>
  <c r="C8" i="3"/>
  <c r="L15" i="2"/>
  <c r="B18" i="6"/>
  <c r="B18" i="2"/>
  <c r="B18" i="3"/>
  <c r="G18" i="5"/>
  <c r="M32" i="5"/>
  <c r="D53" i="5"/>
  <c r="M13" i="2"/>
  <c r="J19" i="5"/>
  <c r="M15" i="3"/>
  <c r="D59" i="7"/>
  <c r="E53" i="7"/>
  <c r="C47" i="7"/>
  <c r="B47" i="7"/>
  <c r="D46" i="7"/>
  <c r="D45" i="7"/>
  <c r="D44" i="7"/>
  <c r="D43" i="7"/>
  <c r="D42" i="7"/>
  <c r="D41" i="7"/>
  <c r="D47" i="7"/>
  <c r="C33" i="7"/>
  <c r="B33" i="7"/>
  <c r="B35" i="7"/>
  <c r="D32" i="7"/>
  <c r="D31" i="7"/>
  <c r="D30" i="7"/>
  <c r="D29" i="7"/>
  <c r="D28" i="7"/>
  <c r="D27" i="7"/>
  <c r="D26" i="7"/>
  <c r="D25" i="7"/>
  <c r="D24" i="7"/>
  <c r="D23" i="7"/>
  <c r="D15" i="7"/>
  <c r="D16" i="7"/>
  <c r="C36" i="7"/>
  <c r="B15" i="7"/>
  <c r="E51" i="7"/>
  <c r="B12" i="7"/>
  <c r="E43" i="7"/>
  <c r="D55" i="5"/>
  <c r="J59" i="5"/>
  <c r="M38" i="5"/>
  <c r="G55" i="5"/>
  <c r="J12" i="3"/>
  <c r="L12" i="3"/>
  <c r="D12" i="6" s="1"/>
  <c r="L20" i="3"/>
  <c r="C11" i="3"/>
  <c r="F9" i="2"/>
  <c r="F8" i="2"/>
  <c r="F7" i="2"/>
  <c r="M22" i="5"/>
  <c r="G59" i="5"/>
  <c r="K16" i="4"/>
  <c r="K10" i="2"/>
  <c r="M10" i="2"/>
  <c r="J15" i="2"/>
  <c r="F11" i="2"/>
  <c r="P32" i="5"/>
  <c r="P30" i="5"/>
  <c r="P29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M30" i="5"/>
  <c r="M29" i="5"/>
  <c r="M27" i="5"/>
  <c r="M26" i="5"/>
  <c r="M25" i="5"/>
  <c r="M24" i="5"/>
  <c r="M23" i="5"/>
  <c r="M21" i="5"/>
  <c r="M20" i="5"/>
  <c r="M19" i="5"/>
  <c r="M18" i="5"/>
  <c r="M17" i="5"/>
  <c r="M16" i="5"/>
  <c r="M15" i="5"/>
  <c r="M14" i="5"/>
  <c r="M13" i="5"/>
  <c r="M12" i="5"/>
  <c r="M11" i="5"/>
  <c r="M10" i="5"/>
  <c r="G14" i="4"/>
  <c r="J14" i="4" s="1"/>
  <c r="L14" i="4" s="1"/>
  <c r="J13" i="4"/>
  <c r="L13" i="4" s="1"/>
  <c r="G12" i="4"/>
  <c r="J12" i="4" s="1"/>
  <c r="L12" i="4" s="1"/>
  <c r="G11" i="4"/>
  <c r="J11" i="4" s="1"/>
  <c r="L11" i="4" s="1"/>
  <c r="G10" i="4"/>
  <c r="G9" i="4"/>
  <c r="J9" i="4" s="1"/>
  <c r="L9" i="4" s="1"/>
  <c r="G8" i="4"/>
  <c r="L8" i="4"/>
  <c r="E7" i="6"/>
  <c r="G13" i="3"/>
  <c r="G11" i="3"/>
  <c r="G10" i="3"/>
  <c r="G9" i="3"/>
  <c r="G8" i="3"/>
  <c r="G7" i="3"/>
  <c r="J7" i="3"/>
  <c r="J29" i="5"/>
  <c r="G29" i="5"/>
  <c r="D29" i="5"/>
  <c r="D32" i="5"/>
  <c r="J30" i="5"/>
  <c r="G30" i="5"/>
  <c r="D30" i="5"/>
  <c r="J27" i="5"/>
  <c r="G27" i="5"/>
  <c r="D27" i="5"/>
  <c r="J26" i="5"/>
  <c r="G26" i="5"/>
  <c r="D26" i="5"/>
  <c r="J25" i="5"/>
  <c r="G25" i="5"/>
  <c r="D25" i="5"/>
  <c r="J24" i="5"/>
  <c r="G24" i="5"/>
  <c r="D24" i="5"/>
  <c r="J23" i="5"/>
  <c r="G23" i="5"/>
  <c r="D23" i="5"/>
  <c r="G22" i="5"/>
  <c r="D22" i="5"/>
  <c r="J21" i="5"/>
  <c r="G21" i="5"/>
  <c r="D21" i="5"/>
  <c r="J20" i="5"/>
  <c r="G20" i="5"/>
  <c r="D20" i="5"/>
  <c r="G19" i="5"/>
  <c r="D19" i="5"/>
  <c r="J18" i="5"/>
  <c r="D18" i="5"/>
  <c r="J17" i="5"/>
  <c r="G17" i="5"/>
  <c r="D17" i="5"/>
  <c r="J16" i="5"/>
  <c r="G16" i="5"/>
  <c r="D16" i="5"/>
  <c r="J15" i="5"/>
  <c r="G15" i="5"/>
  <c r="D15" i="5"/>
  <c r="J14" i="5"/>
  <c r="G14" i="5"/>
  <c r="D14" i="5"/>
  <c r="J13" i="5"/>
  <c r="G13" i="5"/>
  <c r="D13" i="5"/>
  <c r="J12" i="5"/>
  <c r="G12" i="5"/>
  <c r="D12" i="5"/>
  <c r="J11" i="5"/>
  <c r="G11" i="5"/>
  <c r="D11" i="5"/>
  <c r="J10" i="5"/>
  <c r="G10" i="5"/>
  <c r="D10" i="5"/>
  <c r="F15" i="2"/>
  <c r="J13" i="3"/>
  <c r="J8" i="3"/>
  <c r="L8" i="3" s="1"/>
  <c r="D8" i="6" s="1"/>
  <c r="F13" i="2"/>
  <c r="F10" i="2"/>
  <c r="F12" i="2"/>
  <c r="K15" i="3"/>
  <c r="J22" i="5"/>
  <c r="C35" i="7"/>
  <c r="C37" i="7" s="1"/>
  <c r="C50" i="7"/>
  <c r="E31" i="7"/>
  <c r="E27" i="7"/>
  <c r="E46" i="7"/>
  <c r="C57" i="7"/>
  <c r="E57" i="7"/>
  <c r="E42" i="7"/>
  <c r="E32" i="7"/>
  <c r="E28" i="7"/>
  <c r="E24" i="7"/>
  <c r="C10" i="6"/>
  <c r="E45" i="7"/>
  <c r="C58" i="7"/>
  <c r="E58" i="7"/>
  <c r="E41" i="7"/>
  <c r="E26" i="7"/>
  <c r="E30" i="7"/>
  <c r="E14" i="7"/>
  <c r="E16" i="7"/>
  <c r="E36" i="7"/>
  <c r="E44" i="7"/>
  <c r="E25" i="7"/>
  <c r="E29" i="7"/>
  <c r="E23" i="7"/>
  <c r="E33" i="7" s="1"/>
  <c r="E35" i="7" s="1"/>
  <c r="E47" i="7"/>
  <c r="G9" i="5"/>
  <c r="J51" i="5" s="1"/>
  <c r="J9" i="5"/>
  <c r="J53" i="5"/>
  <c r="M9" i="5"/>
  <c r="D51" i="5"/>
  <c r="B31" i="5"/>
  <c r="B33" i="5" s="1"/>
  <c r="B42" i="5" s="1"/>
  <c r="C42" i="5" s="1"/>
  <c r="G51" i="5"/>
  <c r="J9" i="3"/>
  <c r="L9" i="3" s="1"/>
  <c r="D9" i="6" s="1"/>
  <c r="D35" i="7"/>
  <c r="L22" i="3"/>
  <c r="L7" i="3"/>
  <c r="D7" i="6"/>
  <c r="G53" i="5" l="1"/>
  <c r="E11" i="6"/>
  <c r="E12" i="6"/>
  <c r="E10" i="6"/>
  <c r="J10" i="4"/>
  <c r="E8" i="6"/>
  <c r="I12" i="2"/>
  <c r="K12" i="2" s="1"/>
  <c r="C12" i="6" s="1"/>
  <c r="P31" i="5"/>
  <c r="P33" i="5" s="1"/>
  <c r="P35" i="5" s="1"/>
  <c r="P39" i="5" s="1"/>
  <c r="P42" i="5" s="1"/>
  <c r="B11" i="2" s="1"/>
  <c r="I11" i="2" s="1"/>
  <c r="K11" i="2" s="1"/>
  <c r="M11" i="2" s="1"/>
  <c r="D31" i="5"/>
  <c r="D33" i="5" s="1"/>
  <c r="D39" i="5" s="1"/>
  <c r="D42" i="5" s="1"/>
  <c r="J31" i="5"/>
  <c r="J32" i="5" s="1"/>
  <c r="J33" i="5" s="1"/>
  <c r="J39" i="5" s="1"/>
  <c r="J42" i="5" s="1"/>
  <c r="M31" i="5"/>
  <c r="M33" i="5" s="1"/>
  <c r="M42" i="5" s="1"/>
  <c r="B7" i="2" s="1"/>
  <c r="I7" i="2" s="1"/>
  <c r="K7" i="2" s="1"/>
  <c r="M7" i="2" s="1"/>
  <c r="G31" i="5"/>
  <c r="E50" i="7"/>
  <c r="E52" i="7" s="1"/>
  <c r="E37" i="7"/>
  <c r="J10" i="3"/>
  <c r="J11" i="3"/>
  <c r="L11" i="3" s="1"/>
  <c r="D11" i="6" s="1"/>
  <c r="I8" i="2"/>
  <c r="I9" i="2"/>
  <c r="K9" i="2" s="1"/>
  <c r="M12" i="2" l="1"/>
  <c r="F12" i="6"/>
  <c r="L10" i="4"/>
  <c r="J16" i="4"/>
  <c r="C7" i="6"/>
  <c r="F7" i="6" s="1"/>
  <c r="C11" i="6"/>
  <c r="F11" i="6" s="1"/>
  <c r="M39" i="5"/>
  <c r="G32" i="5"/>
  <c r="G33" i="5" s="1"/>
  <c r="G39" i="5" s="1"/>
  <c r="G42" i="5" s="1"/>
  <c r="M9" i="2"/>
  <c r="C9" i="6"/>
  <c r="K8" i="2"/>
  <c r="I15" i="2"/>
  <c r="L10" i="3"/>
  <c r="J15" i="3"/>
  <c r="C56" i="7"/>
  <c r="E54" i="7"/>
  <c r="E9" i="6" l="1"/>
  <c r="E15" i="6" s="1"/>
  <c r="L16" i="4"/>
  <c r="C59" i="7"/>
  <c r="E56" i="7"/>
  <c r="E59" i="7" s="1"/>
  <c r="D10" i="6"/>
  <c r="L15" i="3"/>
  <c r="C8" i="6"/>
  <c r="M8" i="2"/>
  <c r="K15" i="2"/>
  <c r="F9" i="6" l="1"/>
  <c r="F8" i="6"/>
  <c r="C15" i="6"/>
  <c r="D15" i="6"/>
  <c r="F10" i="6"/>
  <c r="F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Rodriguez</author>
  </authors>
  <commentList>
    <comment ref="D45" authorId="0" shapeId="0" xr:uid="{822E8474-192E-41B2-B14D-8D95345600DF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110% 10% over 10 controllable of $57,003.21 = $13,056.22
 util/Snow/sec
</t>
        </r>
      </text>
    </comment>
    <comment ref="G45" authorId="0" shapeId="0" xr:uid="{7E4ABC05-44DF-4719-9F6F-2694D86278BE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5%over 2019 controllable plus utility/snow
</t>
        </r>
      </text>
    </comment>
    <comment ref="D4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10% over 2018 controllable - $51,821x110% = $9187.64 utility &amp; Snow
</t>
        </r>
      </text>
    </comment>
    <comment ref="G4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5% increase over '18 actual controllable plus utility and snow
</t>
        </r>
      </text>
    </comment>
    <comment ref="D4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2017 CAM pd-$60106.52 x 10%
</t>
        </r>
      </text>
    </comment>
    <comment ref="G4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acutal '18 was $27,100.75+8,173.87 utl/snow
</t>
        </r>
      </text>
    </comment>
    <comment ref="D5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included 16Controllable cap of $67,337.60 x 10% + Electricity, Security &amp; Snow Rmoval
</t>
        </r>
      </text>
    </comment>
    <comment ref="G5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17 actual non-cap exp was $32,047.74+9,271.36UTL/Snow
</t>
        </r>
      </text>
    </comment>
    <comment ref="D5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CONTROLLABLE Cap for '16 is $67,337.60 +iutl and snow
</t>
        </r>
      </text>
    </comment>
    <comment ref="G5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2016 Cap on Contollable-$41,394.27 * Utility and snow and 5% admin on util and snow
</t>
        </r>
      </text>
    </comment>
    <comment ref="J5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Cap on controllable-$43,365 + (util/snow +10%)
</t>
        </r>
      </text>
    </comment>
    <comment ref="D5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controllable CAP for '15=(55,650.91*110%) + utl and snow - so CONTROLLABLE CAP=$61,216
</t>
        </r>
      </text>
    </comment>
    <comment ref="G55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$39,423.11-Capped Controllable +$10,552.48utl/snow(=5% adimin)
</t>
        </r>
      </text>
    </comment>
    <comment ref="J5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$41,300.40 (cappedControlllable) =$11,054.98Util/snow (includes 10% admin)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Rodriguez</author>
  </authors>
  <commentList>
    <comment ref="E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Cindy Rodriguez: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<sst xmlns="http://schemas.openxmlformats.org/spreadsheetml/2006/main" count="390" uniqueCount="192">
  <si>
    <t>Rosenson</t>
  </si>
  <si>
    <t>Mercer</t>
  </si>
  <si>
    <t>combined</t>
  </si>
  <si>
    <t>Electricity</t>
  </si>
  <si>
    <t>Water/Sewer</t>
  </si>
  <si>
    <t>Landscape/Gardening</t>
  </si>
  <si>
    <t>Parking Lot Sweep</t>
  </si>
  <si>
    <t>R&amp;M CAM</t>
  </si>
  <si>
    <t>debris removal, tree removal</t>
  </si>
  <si>
    <t>Security</t>
  </si>
  <si>
    <t>Parkaing Lot Repairs</t>
  </si>
  <si>
    <t>Ashpalt repairs</t>
  </si>
  <si>
    <t>aug</t>
  </si>
  <si>
    <t>Management Fee</t>
  </si>
  <si>
    <t>Midland Center</t>
  </si>
  <si>
    <t>Recoveries Calculation Report</t>
  </si>
  <si>
    <t xml:space="preserve"> </t>
  </si>
  <si>
    <t>RCAM</t>
  </si>
  <si>
    <t>Rtax</t>
  </si>
  <si>
    <t>Rins</t>
  </si>
  <si>
    <t>Total</t>
  </si>
  <si>
    <t>RCM</t>
  </si>
  <si>
    <t>rtax</t>
  </si>
  <si>
    <r>
      <t xml:space="preserve">Beverly's Pancake House </t>
    </r>
    <r>
      <rPr>
        <b/>
        <sz val="8"/>
        <rFont val="Arial"/>
        <family val="2"/>
      </rPr>
      <t xml:space="preserve"> </t>
    </r>
  </si>
  <si>
    <r>
      <t xml:space="preserve">Chipotle Mexican Grill </t>
    </r>
    <r>
      <rPr>
        <b/>
        <sz val="8"/>
        <rFont val="Arial"/>
        <family val="2"/>
      </rPr>
      <t xml:space="preserve"> </t>
    </r>
  </si>
  <si>
    <r>
      <t xml:space="preserve">Conn Appliances   </t>
    </r>
    <r>
      <rPr>
        <b/>
        <sz val="8"/>
        <rFont val="Arial"/>
        <family val="2"/>
      </rPr>
      <t xml:space="preserve"> </t>
    </r>
  </si>
  <si>
    <t xml:space="preserve">Panera Bread </t>
  </si>
  <si>
    <t xml:space="preserve">Schlotzsky's </t>
  </si>
  <si>
    <t xml:space="preserve">Starbuck's </t>
  </si>
  <si>
    <t>Vacant</t>
  </si>
  <si>
    <t>TOTAL</t>
  </si>
  <si>
    <t>Chipotle</t>
  </si>
  <si>
    <t>Conn's</t>
  </si>
  <si>
    <t>Starbuck's</t>
  </si>
  <si>
    <t>Beverly's</t>
  </si>
  <si>
    <t>Schlotzsky's</t>
  </si>
  <si>
    <t>CAM</t>
  </si>
  <si>
    <t xml:space="preserve">Pool </t>
  </si>
  <si>
    <t>Pool I</t>
  </si>
  <si>
    <t>CAPS</t>
  </si>
  <si>
    <t>Pool II</t>
  </si>
  <si>
    <t>Pool III</t>
  </si>
  <si>
    <t>Pool IV</t>
  </si>
  <si>
    <t>Water &amp; Sewer</t>
  </si>
  <si>
    <t xml:space="preserve">  </t>
  </si>
  <si>
    <t>Electrical</t>
  </si>
  <si>
    <t>Plumbing</t>
  </si>
  <si>
    <t>Landscaping &amp; Gardening</t>
  </si>
  <si>
    <t>Landscaping R&amp;M</t>
  </si>
  <si>
    <t>Sprinkler R &amp; M</t>
  </si>
  <si>
    <t>Parking Lot Sweeps</t>
  </si>
  <si>
    <t>Snow Removal</t>
  </si>
  <si>
    <t>Parking Lot Repairs/Stripe</t>
  </si>
  <si>
    <t>Powerwashing</t>
  </si>
  <si>
    <t>Painting</t>
  </si>
  <si>
    <t>Groundskeeper</t>
  </si>
  <si>
    <t>Trash Removal</t>
  </si>
  <si>
    <t>Trash Removal - Dumpster</t>
  </si>
  <si>
    <t>Pest Control</t>
  </si>
  <si>
    <t>Signage</t>
  </si>
  <si>
    <t>Roof Repairs</t>
  </si>
  <si>
    <t>n/a</t>
  </si>
  <si>
    <t>omit N/A per Erin</t>
  </si>
  <si>
    <t>Exterior Repairs</t>
  </si>
  <si>
    <t xml:space="preserve">Fire Control   </t>
  </si>
  <si>
    <t>Management Fees</t>
  </si>
  <si>
    <t xml:space="preserve">         Sub-Total:</t>
  </si>
  <si>
    <t xml:space="preserve">Adminstrative Fee </t>
  </si>
  <si>
    <t>no</t>
  </si>
  <si>
    <r>
      <rPr>
        <b/>
        <sz val="10"/>
        <rFont val="Arial"/>
        <family val="2"/>
      </rPr>
      <t>ADD IN:</t>
    </r>
    <r>
      <rPr>
        <sz val="10"/>
        <rFont val="Arial"/>
        <family val="2"/>
      </rPr>
      <t xml:space="preserve">  INSURANCE</t>
    </r>
  </si>
  <si>
    <t xml:space="preserve">              TAXES</t>
  </si>
  <si>
    <t>Total CAM Expenses</t>
  </si>
  <si>
    <t>Controllable cap 10%</t>
  </si>
  <si>
    <t>Capped at</t>
  </si>
  <si>
    <t>billed $46,605.67</t>
  </si>
  <si>
    <t>billed $48,824.99</t>
  </si>
  <si>
    <t>NOTES:</t>
  </si>
  <si>
    <t>see separate</t>
  </si>
  <si>
    <t>(?)</t>
  </si>
  <si>
    <t>worksheet</t>
  </si>
  <si>
    <t>Capped at:</t>
  </si>
  <si>
    <t>cap based on 10%</t>
  </si>
  <si>
    <t xml:space="preserve">tenant Pd over </t>
  </si>
  <si>
    <t>previous year</t>
  </si>
  <si>
    <t>Recovery Exp Pool</t>
  </si>
  <si>
    <t>Tenant SF</t>
  </si>
  <si>
    <t>Based on Building     SF</t>
  </si>
  <si>
    <t>Tenant Area Share</t>
  </si>
  <si>
    <t>Recovery Days</t>
  </si>
  <si>
    <t>Days as Fraction</t>
  </si>
  <si>
    <t>Tenant Share</t>
  </si>
  <si>
    <t>Tenant Charged</t>
  </si>
  <si>
    <t>Amount Due to/from</t>
  </si>
  <si>
    <t>Per Yardi</t>
  </si>
  <si>
    <r>
      <t xml:space="preserve">Beverly's Pancake House </t>
    </r>
    <r>
      <rPr>
        <b/>
        <sz val="8"/>
        <rFont val="Arial"/>
        <family val="2"/>
      </rPr>
      <t xml:space="preserve"> (1)</t>
    </r>
  </si>
  <si>
    <r>
      <t xml:space="preserve">Chipotle Mexican Grill </t>
    </r>
    <r>
      <rPr>
        <b/>
        <sz val="8"/>
        <rFont val="Arial"/>
        <family val="2"/>
      </rPr>
      <t xml:space="preserve"> (2)</t>
    </r>
  </si>
  <si>
    <r>
      <t xml:space="preserve">Conn Appliances   </t>
    </r>
    <r>
      <rPr>
        <b/>
        <sz val="8"/>
        <rFont val="Arial"/>
        <family val="2"/>
      </rPr>
      <t xml:space="preserve"> (2)</t>
    </r>
  </si>
  <si>
    <r>
      <t xml:space="preserve">Panera Bread </t>
    </r>
    <r>
      <rPr>
        <b/>
        <sz val="8"/>
        <rFont val="Arial"/>
        <family val="2"/>
      </rPr>
      <t>(3)</t>
    </r>
  </si>
  <si>
    <t>no cam</t>
  </si>
  <si>
    <r>
      <t xml:space="preserve">Schlotzsky's </t>
    </r>
    <r>
      <rPr>
        <b/>
        <sz val="8"/>
        <rFont val="Arial"/>
        <family val="2"/>
      </rPr>
      <t>(4) - See NOTE</t>
    </r>
  </si>
  <si>
    <r>
      <t xml:space="preserve">Starbuck's  </t>
    </r>
    <r>
      <rPr>
        <b/>
        <sz val="8"/>
        <rFont val="Arial"/>
        <family val="2"/>
      </rPr>
      <t>(5)</t>
    </r>
  </si>
  <si>
    <t xml:space="preserve">            (1) Based on total square footage of building 41,893 - per their lease agreement</t>
  </si>
  <si>
    <t xml:space="preserve">            (2) Based on total square footage of the building where their premises are located - 42,113  Controllable CAM costs capped at 10% annual increases.  2015 billing</t>
  </si>
  <si>
    <t xml:space="preserve">has been corrected.  Controllable costs do not include tax, ins, utilities, snow </t>
  </si>
  <si>
    <t>and ice (Secion 10.13)</t>
  </si>
  <si>
    <t xml:space="preserve">            (3) Per lease, Panera's sq. ft. is 5,160 (reg footage is 4,860).  PR is total square footage of the entire shopping center - 53,973</t>
  </si>
  <si>
    <t xml:space="preserve">            (4) Per lease, Schlotzsky's sq. ft. is 5,300 (reg footage is 5,000).  PR is total sq ft of the Center - 53,973</t>
  </si>
  <si>
    <t xml:space="preserve">            (5) Based on total square footage of the entire shopping center - 53,973</t>
  </si>
  <si>
    <t>#'s in green don't pay monthly/only annually</t>
  </si>
  <si>
    <t>Tenant         Area          Share</t>
  </si>
  <si>
    <t>Billed</t>
  </si>
  <si>
    <t>Total Due</t>
  </si>
  <si>
    <r>
      <t xml:space="preserve">Conn Appliances </t>
    </r>
    <r>
      <rPr>
        <b/>
        <sz val="8"/>
        <rFont val="Arial"/>
        <family val="2"/>
      </rPr>
      <t xml:space="preserve"> (2)</t>
    </r>
  </si>
  <si>
    <r>
      <t xml:space="preserve">Panera Bread  </t>
    </r>
    <r>
      <rPr>
        <b/>
        <sz val="8"/>
        <rFont val="Arial"/>
        <family val="2"/>
      </rPr>
      <t>(3)</t>
    </r>
  </si>
  <si>
    <r>
      <t xml:space="preserve">Schlotzsky's  </t>
    </r>
    <r>
      <rPr>
        <b/>
        <sz val="8"/>
        <rFont val="Arial"/>
        <family val="2"/>
      </rPr>
      <t>(4)</t>
    </r>
  </si>
  <si>
    <r>
      <t xml:space="preserve">Starbuck's </t>
    </r>
    <r>
      <rPr>
        <b/>
        <sz val="8"/>
        <rFont val="Arial"/>
        <family val="2"/>
      </rPr>
      <t xml:space="preserve">  (5)</t>
    </r>
  </si>
  <si>
    <t>(1) Based on total square footage of building 41,893 - per their lease agreement</t>
  </si>
  <si>
    <t>Main Parcel</t>
  </si>
  <si>
    <t xml:space="preserve">(2) Based on total square footage of the building where their premises are located - 42,113 </t>
  </si>
  <si>
    <t>Panera/Schlotzsky's</t>
  </si>
  <si>
    <t>(3) Based on total square footage of the Panera and Schlotzsky's buildings - 9,860.</t>
  </si>
  <si>
    <t>(4) Schlotzsky's charges include the following Tax Bills:  1-main bldg of $54,806.18 and 2-parcel that  Schl &amp; Panera sit on of $19,782.38</t>
  </si>
  <si>
    <t xml:space="preserve">           Their square footage is based on the Lease Agreement (actual sf is 5,000) to the total sq ft of the Center, less Starbucks</t>
  </si>
  <si>
    <t>(5) Based on 100% of the tax bill that is separate for that parcel.</t>
  </si>
  <si>
    <t>Based on Building         SF</t>
  </si>
  <si>
    <t>Tenant Charges</t>
  </si>
  <si>
    <t>in cam</t>
  </si>
  <si>
    <t xml:space="preserve">   (1) Based on total square footage of building 41,893 - per their lease agreement</t>
  </si>
  <si>
    <t>(2) Based on total square footage of the building where their premises are located - 42,113 = 78.02% of total sf 53,973</t>
  </si>
  <si>
    <t xml:space="preserve">                (3) Based on the lease agreement sq. ft. of 5,160 (reg footage is 4,860) to the total sq ft of bldg. where their premises are located  - 42,113 = 78.02% of total sf 53,973 </t>
  </si>
  <si>
    <t xml:space="preserve">                (4) Schlotzsky's sq. ft. is based on the lease agreement sq. ft. of 5,300 (reg footage is 5,000) to the total sq ft of the Center.</t>
  </si>
  <si>
    <t>(5) Based on 3.71% of total sf</t>
  </si>
  <si>
    <t>Chipotle Mexican Grill</t>
  </si>
  <si>
    <t>2016 Year End Reconciliation</t>
  </si>
  <si>
    <t>Store Name:</t>
  </si>
  <si>
    <t>Northwest Expressway</t>
  </si>
  <si>
    <t xml:space="preserve">Rent Commencement Date: </t>
  </si>
  <si>
    <t>Store Number:</t>
  </si>
  <si>
    <t xml:space="preserve">Prepared By: </t>
  </si>
  <si>
    <t>BG</t>
  </si>
  <si>
    <t xml:space="preserve">CAP: </t>
  </si>
  <si>
    <t>Administrative Fee:</t>
  </si>
  <si>
    <t xml:space="preserve">Chipotle's Square Footage: </t>
  </si>
  <si>
    <t xml:space="preserve">Gross Leaseable Area </t>
  </si>
  <si>
    <t>Prorata Share</t>
  </si>
  <si>
    <t>enter prior yr</t>
  </si>
  <si>
    <t># Days Open</t>
  </si>
  <si>
    <t>CAP Calc Year</t>
  </si>
  <si>
    <t>2015 GLA</t>
  </si>
  <si>
    <t>2015 PRS</t>
  </si>
  <si>
    <t># Days Per Year</t>
  </si>
  <si>
    <t>Prior Yr Base</t>
  </si>
  <si>
    <t>Occupancy</t>
  </si>
  <si>
    <t>CAP Amt</t>
  </si>
  <si>
    <t>Audit Rights</t>
  </si>
  <si>
    <t>yes</t>
  </si>
  <si>
    <t>New CAP Amt</t>
  </si>
  <si>
    <t>Co-Tenancy</t>
  </si>
  <si>
    <t>Notes:</t>
  </si>
  <si>
    <t>CONTROLLABLES - CAPPED ITEMS</t>
  </si>
  <si>
    <t>% Difference</t>
  </si>
  <si>
    <t>Chipotle's Share</t>
  </si>
  <si>
    <t>Parking Lot Sweeping</t>
  </si>
  <si>
    <t xml:space="preserve">General &amp; Miscellaneous </t>
  </si>
  <si>
    <t>Parking Lot Repairs</t>
  </si>
  <si>
    <t>Fire Control</t>
  </si>
  <si>
    <t>Management - 10.4</t>
  </si>
  <si>
    <t xml:space="preserve">Subtotal </t>
  </si>
  <si>
    <t>Admin Fee</t>
  </si>
  <si>
    <t>Total Controllables</t>
  </si>
  <si>
    <t>Cap Amount Allowed</t>
  </si>
  <si>
    <t xml:space="preserve">Total Allowed Controllable </t>
  </si>
  <si>
    <t>UNCONTROLLABLES - NON-CAPPED ITEMS</t>
  </si>
  <si>
    <t>RE Tax</t>
  </si>
  <si>
    <t>Insurance</t>
  </si>
  <si>
    <t>Total Uncontrollables</t>
  </si>
  <si>
    <t>Total Expenses</t>
  </si>
  <si>
    <t>Total Amount Due by Tenant</t>
  </si>
  <si>
    <t>Less: Tenants Contributions</t>
  </si>
  <si>
    <t>Amount Due/Credit</t>
  </si>
  <si>
    <t>Charge</t>
  </si>
  <si>
    <t>Paid</t>
  </si>
  <si>
    <t>CAM Due</t>
  </si>
  <si>
    <t>INS Due</t>
  </si>
  <si>
    <t>RE Tax Due</t>
  </si>
  <si>
    <t xml:space="preserve"> TAX Recoveries - 2020</t>
  </si>
  <si>
    <t>2020 Taxes</t>
  </si>
  <si>
    <t>Insurance Recoveries 2020</t>
  </si>
  <si>
    <t>CAM Pools - 2020</t>
  </si>
  <si>
    <t>CAM 2020</t>
  </si>
  <si>
    <t>2020 Reconciliation</t>
  </si>
  <si>
    <t>approved by Erin.    (only ommited Roof repairs)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</si>
</sst>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m/d/yy;@"/>
    <numFmt numFmtId="168" formatCode="mm/dd/yy;@"/>
    <numFmt numFmtId="169" formatCode="00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AF4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164" fontId="2" fillId="0" borderId="0" xfId="1" applyNumberFormat="1" applyFont="1"/>
    <xf numFmtId="9" fontId="2" fillId="0" borderId="0" xfId="5" applyFont="1"/>
    <xf numFmtId="0" fontId="3" fillId="0" borderId="0" xfId="0" applyFont="1"/>
    <xf numFmtId="43" fontId="1" fillId="0" borderId="0" xfId="1"/>
    <xf numFmtId="43" fontId="2" fillId="0" borderId="0" xfId="1" applyFont="1"/>
    <xf numFmtId="0" fontId="2" fillId="0" borderId="0" xfId="0" applyFont="1" applyAlignment="1">
      <alignment horizontal="center" wrapText="1"/>
    </xf>
    <xf numFmtId="164" fontId="8" fillId="0" borderId="0" xfId="1" applyNumberFormat="1" applyFont="1" applyAlignment="1">
      <alignment horizontal="center" wrapText="1"/>
    </xf>
    <xf numFmtId="9" fontId="8" fillId="0" borderId="0" xfId="5" applyFont="1" applyAlignment="1">
      <alignment horizontal="center" wrapText="1"/>
    </xf>
    <xf numFmtId="0" fontId="8" fillId="0" borderId="0" xfId="0" applyFont="1" applyAlignment="1">
      <alignment horizontal="center" wrapText="1"/>
    </xf>
    <xf numFmtId="43" fontId="8" fillId="0" borderId="0" xfId="1" applyFont="1" applyAlignment="1">
      <alignment horizontal="center" wrapText="1"/>
    </xf>
    <xf numFmtId="164" fontId="1" fillId="0" borderId="0" xfId="1" applyNumberFormat="1"/>
    <xf numFmtId="166" fontId="0" fillId="0" borderId="0" xfId="0" applyNumberFormat="1"/>
    <xf numFmtId="0" fontId="2" fillId="0" borderId="0" xfId="0" applyFont="1" applyAlignment="1">
      <alignment horizontal="center"/>
    </xf>
    <xf numFmtId="167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left"/>
    </xf>
    <xf numFmtId="0" fontId="4" fillId="0" borderId="0" xfId="0" applyFont="1"/>
    <xf numFmtId="39" fontId="1" fillId="0" borderId="0" xfId="1" applyNumberFormat="1"/>
    <xf numFmtId="4" fontId="1" fillId="0" borderId="0" xfId="1" applyNumberFormat="1"/>
    <xf numFmtId="4" fontId="0" fillId="0" borderId="0" xfId="0" applyNumberFormat="1"/>
    <xf numFmtId="166" fontId="0" fillId="0" borderId="1" xfId="0" applyNumberFormat="1" applyBorder="1"/>
    <xf numFmtId="0" fontId="2" fillId="2" borderId="0" xfId="0" applyFont="1" applyFill="1"/>
    <xf numFmtId="0" fontId="0" fillId="2" borderId="0" xfId="0" applyFill="1"/>
    <xf numFmtId="43" fontId="1" fillId="2" borderId="0" xfId="1" applyFill="1"/>
    <xf numFmtId="0" fontId="0" fillId="0" borderId="1" xfId="0" applyBorder="1"/>
    <xf numFmtId="0" fontId="4" fillId="2" borderId="0" xfId="0" applyFont="1" applyFill="1"/>
    <xf numFmtId="14" fontId="7" fillId="0" borderId="0" xfId="0" applyNumberFormat="1" applyFont="1" applyAlignment="1">
      <alignment horizontal="left"/>
    </xf>
    <xf numFmtId="164" fontId="3" fillId="0" borderId="0" xfId="1" applyNumberFormat="1" applyFont="1"/>
    <xf numFmtId="0" fontId="2" fillId="4" borderId="0" xfId="0" applyFont="1" applyFill="1"/>
    <xf numFmtId="0" fontId="2" fillId="0" borderId="0" xfId="4" applyFont="1"/>
    <xf numFmtId="0" fontId="3" fillId="0" borderId="0" xfId="4"/>
    <xf numFmtId="164" fontId="2" fillId="0" borderId="0" xfId="2" applyNumberFormat="1" applyFont="1"/>
    <xf numFmtId="9" fontId="2" fillId="0" borderId="0" xfId="6" applyFont="1"/>
    <xf numFmtId="164" fontId="2" fillId="0" borderId="0" xfId="2" applyNumberFormat="1" applyFont="1" applyAlignment="1">
      <alignment horizontal="center"/>
    </xf>
    <xf numFmtId="164" fontId="2" fillId="3" borderId="0" xfId="2" applyNumberFormat="1" applyFont="1" applyFill="1" applyAlignment="1">
      <alignment horizontal="center"/>
    </xf>
    <xf numFmtId="0" fontId="2" fillId="3" borderId="1" xfId="4" applyFont="1" applyFill="1" applyBorder="1" applyAlignment="1">
      <alignment horizontal="center"/>
    </xf>
    <xf numFmtId="0" fontId="2" fillId="0" borderId="1" xfId="4" applyFont="1" applyBorder="1"/>
    <xf numFmtId="0" fontId="2" fillId="0" borderId="0" xfId="4" applyFont="1" applyAlignment="1">
      <alignment horizontal="center"/>
    </xf>
    <xf numFmtId="43" fontId="3" fillId="0" borderId="0" xfId="2"/>
    <xf numFmtId="9" fontId="4" fillId="0" borderId="0" xfId="2" applyNumberFormat="1" applyFont="1" applyAlignment="1">
      <alignment horizontal="left"/>
    </xf>
    <xf numFmtId="43" fontId="4" fillId="0" borderId="0" xfId="2" applyFont="1" applyAlignment="1">
      <alignment horizontal="left"/>
    </xf>
    <xf numFmtId="9" fontId="3" fillId="0" borderId="0" xfId="2" applyNumberFormat="1" applyAlignment="1">
      <alignment horizontal="center"/>
    </xf>
    <xf numFmtId="165" fontId="4" fillId="0" borderId="0" xfId="6" applyNumberFormat="1" applyFont="1" applyAlignment="1">
      <alignment horizontal="left"/>
    </xf>
    <xf numFmtId="43" fontId="7" fillId="0" borderId="0" xfId="2" applyFont="1" applyAlignment="1">
      <alignment horizontal="center"/>
    </xf>
    <xf numFmtId="43" fontId="3" fillId="0" borderId="0" xfId="2" applyAlignment="1">
      <alignment horizontal="center"/>
    </xf>
    <xf numFmtId="165" fontId="20" fillId="0" borderId="0" xfId="6" applyNumberFormat="1" applyFont="1" applyAlignment="1">
      <alignment horizontal="center"/>
    </xf>
    <xf numFmtId="165" fontId="4" fillId="0" borderId="0" xfId="6" applyNumberFormat="1" applyFont="1"/>
    <xf numFmtId="165" fontId="3" fillId="0" borderId="0" xfId="6" applyNumberFormat="1"/>
    <xf numFmtId="43" fontId="5" fillId="0" borderId="0" xfId="2" applyFont="1"/>
    <xf numFmtId="43" fontId="3" fillId="0" borderId="1" xfId="2" applyBorder="1"/>
    <xf numFmtId="43" fontId="3" fillId="2" borderId="1" xfId="2" applyFill="1" applyBorder="1"/>
    <xf numFmtId="43" fontId="3" fillId="0" borderId="1" xfId="2" applyBorder="1" applyAlignment="1">
      <alignment horizontal="right"/>
    </xf>
    <xf numFmtId="9" fontId="7" fillId="0" borderId="0" xfId="2" applyNumberFormat="1" applyFont="1" applyAlignment="1">
      <alignment horizontal="left"/>
    </xf>
    <xf numFmtId="9" fontId="7" fillId="0" borderId="0" xfId="2" applyNumberFormat="1" applyFont="1"/>
    <xf numFmtId="0" fontId="7" fillId="0" borderId="0" xfId="4" applyFont="1"/>
    <xf numFmtId="43" fontId="4" fillId="0" borderId="0" xfId="2" applyFont="1"/>
    <xf numFmtId="43" fontId="7" fillId="0" borderId="0" xfId="2" applyFont="1"/>
    <xf numFmtId="9" fontId="4" fillId="0" borderId="0" xfId="2" applyNumberFormat="1" applyFont="1" applyAlignment="1">
      <alignment horizontal="center"/>
    </xf>
    <xf numFmtId="43" fontId="3" fillId="0" borderId="0" xfId="2" applyAlignment="1">
      <alignment horizontal="right"/>
    </xf>
    <xf numFmtId="9" fontId="7" fillId="0" borderId="0" xfId="2" applyNumberFormat="1" applyFont="1" applyAlignment="1">
      <alignment horizontal="center"/>
    </xf>
    <xf numFmtId="9" fontId="4" fillId="0" borderId="0" xfId="2" applyNumberFormat="1" applyFont="1"/>
    <xf numFmtId="43" fontId="3" fillId="0" borderId="2" xfId="2" applyBorder="1"/>
    <xf numFmtId="43" fontId="0" fillId="0" borderId="0" xfId="2" applyFont="1"/>
    <xf numFmtId="43" fontId="9" fillId="2" borderId="0" xfId="2" applyFont="1" applyFill="1"/>
    <xf numFmtId="43" fontId="9" fillId="0" borderId="0" xfId="2" applyFont="1"/>
    <xf numFmtId="8" fontId="9" fillId="2" borderId="0" xfId="2" applyNumberFormat="1" applyFont="1" applyFill="1"/>
    <xf numFmtId="43" fontId="10" fillId="0" borderId="0" xfId="2" applyFont="1"/>
    <xf numFmtId="43" fontId="6" fillId="0" borderId="0" xfId="2" applyFont="1"/>
    <xf numFmtId="43" fontId="3" fillId="5" borderId="1" xfId="2" applyFill="1" applyBorder="1"/>
    <xf numFmtId="9" fontId="20" fillId="0" borderId="0" xfId="2" applyNumberFormat="1" applyFont="1" applyAlignment="1">
      <alignment horizontal="center"/>
    </xf>
    <xf numFmtId="164" fontId="1" fillId="0" borderId="1" xfId="1" applyNumberFormat="1" applyBorder="1"/>
    <xf numFmtId="43" fontId="1" fillId="0" borderId="1" xfId="1" applyBorder="1"/>
    <xf numFmtId="39" fontId="1" fillId="0" borderId="1" xfId="1" applyNumberFormat="1" applyBorder="1"/>
    <xf numFmtId="4" fontId="1" fillId="0" borderId="1" xfId="1" applyNumberFormat="1" applyBorder="1"/>
    <xf numFmtId="40" fontId="1" fillId="0" borderId="0" xfId="1" applyNumberFormat="1"/>
    <xf numFmtId="43" fontId="3" fillId="0" borderId="0" xfId="1" applyFont="1"/>
    <xf numFmtId="43" fontId="3" fillId="0" borderId="0" xfId="1" applyFont="1" applyAlignment="1">
      <alignment horizontal="center"/>
    </xf>
    <xf numFmtId="166" fontId="3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6" borderId="0" xfId="0" applyFont="1" applyFill="1"/>
    <xf numFmtId="1" fontId="7" fillId="0" borderId="0" xfId="4" applyNumberFormat="1" applyFont="1"/>
    <xf numFmtId="1" fontId="7" fillId="0" borderId="0" xfId="2" applyNumberFormat="1" applyFont="1"/>
    <xf numFmtId="37" fontId="3" fillId="0" borderId="0" xfId="2" applyNumberFormat="1"/>
    <xf numFmtId="0" fontId="3" fillId="0" borderId="0" xfId="2" applyNumberFormat="1"/>
    <xf numFmtId="43" fontId="20" fillId="0" borderId="0" xfId="1" applyFont="1"/>
    <xf numFmtId="167" fontId="20" fillId="0" borderId="0" xfId="4" applyNumberFormat="1" applyFont="1" applyAlignment="1">
      <alignment horizontal="left"/>
    </xf>
    <xf numFmtId="9" fontId="21" fillId="0" borderId="0" xfId="2" applyNumberFormat="1" applyFont="1" applyAlignment="1">
      <alignment horizontal="left"/>
    </xf>
    <xf numFmtId="164" fontId="1" fillId="7" borderId="0" xfId="1" applyNumberFormat="1" applyFill="1"/>
    <xf numFmtId="0" fontId="0" fillId="7" borderId="0" xfId="0" applyFill="1"/>
    <xf numFmtId="0" fontId="20" fillId="0" borderId="0" xfId="4" applyFont="1"/>
    <xf numFmtId="0" fontId="3" fillId="7" borderId="0" xfId="0" applyFont="1" applyFill="1"/>
    <xf numFmtId="9" fontId="3" fillId="0" borderId="0" xfId="2" applyNumberFormat="1"/>
    <xf numFmtId="39" fontId="3" fillId="0" borderId="0" xfId="1" applyNumberFormat="1" applyFont="1"/>
    <xf numFmtId="4" fontId="3" fillId="0" borderId="0" xfId="0" applyNumberFormat="1" applyFont="1"/>
    <xf numFmtId="164" fontId="5" fillId="8" borderId="0" xfId="1" applyNumberFormat="1" applyFont="1" applyFill="1" applyAlignment="1">
      <alignment horizontal="center" wrapText="1"/>
    </xf>
    <xf numFmtId="39" fontId="0" fillId="8" borderId="0" xfId="0" applyNumberFormat="1" applyFill="1"/>
    <xf numFmtId="4" fontId="0" fillId="8" borderId="0" xfId="0" applyNumberFormat="1" applyFill="1"/>
    <xf numFmtId="39" fontId="1" fillId="8" borderId="0" xfId="1" applyNumberFormat="1" applyFill="1"/>
    <xf numFmtId="39" fontId="4" fillId="8" borderId="0" xfId="0" applyNumberFormat="1" applyFont="1" applyFill="1"/>
    <xf numFmtId="4" fontId="4" fillId="8" borderId="0" xfId="0" applyNumberFormat="1" applyFont="1" applyFill="1"/>
    <xf numFmtId="0" fontId="0" fillId="8" borderId="0" xfId="0" applyFill="1"/>
    <xf numFmtId="0" fontId="12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1" xfId="0" applyNumberFormat="1" applyBorder="1"/>
    <xf numFmtId="164" fontId="3" fillId="0" borderId="0" xfId="0" applyNumberFormat="1" applyFont="1"/>
    <xf numFmtId="0" fontId="2" fillId="9" borderId="0" xfId="0" applyFont="1" applyFill="1"/>
    <xf numFmtId="39" fontId="3" fillId="0" borderId="1" xfId="1" applyNumberFormat="1" applyFont="1" applyBorder="1"/>
    <xf numFmtId="39" fontId="0" fillId="0" borderId="0" xfId="0" applyNumberFormat="1"/>
    <xf numFmtId="43" fontId="3" fillId="7" borderId="0" xfId="2" applyFill="1"/>
    <xf numFmtId="0" fontId="3" fillId="7" borderId="0" xfId="4" applyFill="1"/>
    <xf numFmtId="0" fontId="17" fillId="0" borderId="0" xfId="0" applyFont="1"/>
    <xf numFmtId="169" fontId="17" fillId="0" borderId="0" xfId="3" applyNumberFormat="1" applyFont="1" applyAlignment="1">
      <alignment horizontal="left"/>
    </xf>
    <xf numFmtId="49" fontId="17" fillId="0" borderId="0" xfId="3" applyNumberFormat="1" applyFont="1"/>
    <xf numFmtId="14" fontId="17" fillId="0" borderId="0" xfId="3" applyNumberFormat="1" applyFont="1" applyAlignment="1">
      <alignment horizontal="left"/>
    </xf>
    <xf numFmtId="0" fontId="18" fillId="0" borderId="0" xfId="0" applyFont="1"/>
    <xf numFmtId="14" fontId="17" fillId="0" borderId="0" xfId="3" applyNumberFormat="1" applyFont="1"/>
    <xf numFmtId="0" fontId="15" fillId="0" borderId="0" xfId="0" applyFont="1"/>
    <xf numFmtId="44" fontId="18" fillId="0" borderId="0" xfId="3" applyFont="1"/>
    <xf numFmtId="0" fontId="18" fillId="0" borderId="3" xfId="0" applyFont="1" applyBorder="1" applyAlignment="1">
      <alignment horizontal="left"/>
    </xf>
    <xf numFmtId="9" fontId="18" fillId="0" borderId="5" xfId="6" applyFont="1" applyBorder="1" applyAlignment="1">
      <alignment horizontal="left" indent="1"/>
    </xf>
    <xf numFmtId="0" fontId="18" fillId="0" borderId="6" xfId="0" applyFont="1" applyBorder="1" applyAlignment="1">
      <alignment horizontal="left"/>
    </xf>
    <xf numFmtId="9" fontId="18" fillId="0" borderId="7" xfId="6" applyFont="1" applyBorder="1" applyAlignment="1">
      <alignment horizontal="left" indent="1"/>
    </xf>
    <xf numFmtId="3" fontId="18" fillId="0" borderId="7" xfId="3" applyNumberFormat="1" applyFont="1" applyBorder="1" applyAlignment="1">
      <alignment horizontal="left" indent="1"/>
    </xf>
    <xf numFmtId="10" fontId="18" fillId="0" borderId="7" xfId="6" applyNumberFormat="1" applyFont="1" applyBorder="1" applyAlignment="1">
      <alignment horizontal="left" indent="1"/>
    </xf>
    <xf numFmtId="0" fontId="18" fillId="0" borderId="0" xfId="0" applyFont="1" applyAlignment="1">
      <alignment horizontal="left"/>
    </xf>
    <xf numFmtId="10" fontId="18" fillId="0" borderId="0" xfId="6" applyNumberFormat="1" applyFont="1" applyAlignment="1">
      <alignment horizontal="left" indent="1"/>
    </xf>
    <xf numFmtId="0" fontId="18" fillId="0" borderId="3" xfId="0" applyFont="1" applyBorder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/>
    <xf numFmtId="44" fontId="18" fillId="0" borderId="7" xfId="3" applyFont="1" applyBorder="1"/>
    <xf numFmtId="10" fontId="18" fillId="0" borderId="0" xfId="6" applyNumberFormat="1" applyFont="1"/>
    <xf numFmtId="10" fontId="18" fillId="0" borderId="7" xfId="6" applyNumberFormat="1" applyFont="1" applyBorder="1"/>
    <xf numFmtId="0" fontId="18" fillId="0" borderId="9" xfId="0" applyFont="1" applyBorder="1"/>
    <xf numFmtId="44" fontId="18" fillId="0" borderId="10" xfId="3" applyFont="1" applyBorder="1"/>
    <xf numFmtId="44" fontId="18" fillId="0" borderId="11" xfId="3" applyFont="1" applyBorder="1"/>
    <xf numFmtId="0" fontId="18" fillId="0" borderId="9" xfId="0" applyFont="1" applyBorder="1" applyAlignment="1">
      <alignment horizontal="left"/>
    </xf>
    <xf numFmtId="3" fontId="18" fillId="0" borderId="11" xfId="3" applyNumberFormat="1" applyFont="1" applyBorder="1" applyAlignment="1">
      <alignment horizontal="left" indent="1"/>
    </xf>
    <xf numFmtId="3" fontId="18" fillId="0" borderId="0" xfId="3" applyNumberFormat="1" applyFont="1" applyAlignment="1">
      <alignment horizontal="left"/>
    </xf>
    <xf numFmtId="10" fontId="18" fillId="0" borderId="0" xfId="6" applyNumberFormat="1" applyFont="1" applyAlignment="1">
      <alignment horizontal="left"/>
    </xf>
    <xf numFmtId="14" fontId="18" fillId="0" borderId="0" xfId="0" applyNumberFormat="1" applyFont="1"/>
    <xf numFmtId="0" fontId="17" fillId="0" borderId="0" xfId="3" applyNumberFormat="1" applyFont="1" applyAlignment="1">
      <alignment horizontal="center"/>
    </xf>
    <xf numFmtId="49" fontId="17" fillId="0" borderId="0" xfId="3" applyNumberFormat="1" applyFont="1" applyAlignment="1">
      <alignment horizontal="center"/>
    </xf>
    <xf numFmtId="0" fontId="18" fillId="0" borderId="12" xfId="0" applyFont="1" applyBorder="1" applyAlignment="1">
      <alignment horizontal="right"/>
    </xf>
    <xf numFmtId="44" fontId="18" fillId="0" borderId="12" xfId="3" applyFont="1" applyBorder="1"/>
    <xf numFmtId="10" fontId="18" fillId="0" borderId="12" xfId="6" applyNumberFormat="1" applyFont="1" applyBorder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6" applyNumberFormat="1" applyFont="1"/>
    <xf numFmtId="9" fontId="18" fillId="0" borderId="0" xfId="6" applyFont="1"/>
    <xf numFmtId="0" fontId="17" fillId="0" borderId="12" xfId="0" applyFont="1" applyBorder="1" applyAlignment="1">
      <alignment horizontal="right"/>
    </xf>
    <xf numFmtId="10" fontId="18" fillId="0" borderId="0" xfId="3" applyNumberFormat="1" applyFont="1"/>
    <xf numFmtId="44" fontId="19" fillId="0" borderId="13" xfId="3" applyFont="1" applyBorder="1"/>
    <xf numFmtId="44" fontId="18" fillId="0" borderId="0" xfId="0" applyNumberFormat="1" applyFont="1"/>
    <xf numFmtId="44" fontId="0" fillId="0" borderId="0" xfId="0" applyNumberFormat="1"/>
    <xf numFmtId="164" fontId="22" fillId="0" borderId="0" xfId="1" applyNumberFormat="1" applyFont="1"/>
    <xf numFmtId="0" fontId="3" fillId="7" borderId="0" xfId="2" applyNumberFormat="1" applyFill="1"/>
    <xf numFmtId="43" fontId="23" fillId="2" borderId="0" xfId="2" applyFont="1" applyFill="1"/>
    <xf numFmtId="43" fontId="24" fillId="0" borderId="0" xfId="2" applyFont="1"/>
    <xf numFmtId="37" fontId="23" fillId="0" borderId="0" xfId="2" applyNumberFormat="1" applyFont="1"/>
    <xf numFmtId="40" fontId="23" fillId="2" borderId="0" xfId="2" applyNumberFormat="1" applyFont="1" applyFill="1"/>
    <xf numFmtId="37" fontId="23" fillId="2" borderId="0" xfId="2" applyNumberFormat="1" applyFont="1" applyFill="1"/>
    <xf numFmtId="0" fontId="23" fillId="0" borderId="0" xfId="4" applyFont="1"/>
    <xf numFmtId="44" fontId="3" fillId="0" borderId="0" xfId="3" applyFont="1"/>
    <xf numFmtId="44" fontId="1" fillId="0" borderId="0" xfId="3"/>
    <xf numFmtId="0" fontId="2" fillId="10" borderId="0" xfId="0" applyFont="1" applyFill="1"/>
    <xf numFmtId="0" fontId="0" fillId="10" borderId="0" xfId="0" applyFill="1"/>
    <xf numFmtId="0" fontId="3" fillId="10" borderId="0" xfId="4" applyFill="1"/>
    <xf numFmtId="0" fontId="20" fillId="0" borderId="0" xfId="0" applyFont="1" applyAlignment="1">
      <alignment horizontal="left"/>
    </xf>
    <xf numFmtId="0" fontId="20" fillId="0" borderId="0" xfId="0" applyFont="1"/>
    <xf numFmtId="16" fontId="0" fillId="0" borderId="0" xfId="0" applyNumberFormat="1"/>
    <xf numFmtId="0" fontId="3" fillId="8" borderId="1" xfId="0" applyFont="1" applyFill="1" applyBorder="1"/>
    <xf numFmtId="164" fontId="2" fillId="7" borderId="0" xfId="1" applyNumberFormat="1" applyFont="1" applyFill="1"/>
    <xf numFmtId="0" fontId="2" fillId="7" borderId="0" xfId="0" applyFont="1" applyFill="1"/>
    <xf numFmtId="0" fontId="3" fillId="5" borderId="0" xfId="4" applyFill="1"/>
    <xf numFmtId="43" fontId="3" fillId="0" borderId="0" xfId="2" applyFont="1"/>
    <xf numFmtId="164" fontId="3" fillId="7" borderId="0" xfId="2" applyNumberFormat="1" applyFill="1" applyAlignment="1">
      <alignment horizontal="left" indent="1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20" fillId="0" borderId="6" xfId="0" applyFont="1" applyBorder="1"/>
    <xf numFmtId="0" fontId="0" fillId="0" borderId="11" xfId="0" applyBorder="1"/>
    <xf numFmtId="43" fontId="3" fillId="0" borderId="0" xfId="2" applyAlignment="1"/>
    <xf numFmtId="43" fontId="2" fillId="7" borderId="0" xfId="1" applyFont="1" applyFill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44" fontId="3" fillId="8" borderId="0" xfId="3" applyFont="1" applyFill="1"/>
    <xf numFmtId="43" fontId="1" fillId="7" borderId="0" xfId="2" applyFont="1" applyFill="1"/>
    <xf numFmtId="0" fontId="3" fillId="7" borderId="0" xfId="2" applyNumberFormat="1" applyFill="1" applyAlignment="1"/>
    <xf numFmtId="0" fontId="3" fillId="0" borderId="0" xfId="2" applyNumberFormat="1" applyAlignment="1">
      <alignment horizontal="right" indent="1"/>
    </xf>
    <xf numFmtId="0" fontId="1" fillId="0" borderId="0" xfId="0" applyFont="1"/>
    <xf numFmtId="43" fontId="3" fillId="0" borderId="0" xfId="2" applyFill="1"/>
    <xf numFmtId="0" fontId="3" fillId="0" borderId="0" xfId="0" applyFont="1" applyAlignment="1">
      <alignment horizontal="left"/>
    </xf>
    <xf numFmtId="0" fontId="1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7">
    <cellStyle name="Comma" xfId="1" builtinId="3"/>
    <cellStyle name="Comma 2" xfId="2" xr:uid="{00000000-0005-0000-0000-000001000000}"/>
    <cellStyle name="Currency" xfId="3" builtinId="4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workbookViewId="0">
      <selection activeCell="E12" sqref="E12"/>
    </sheetView>
  </sheetViews>
  <sheetFormatPr defaultRowHeight="12.75" x14ac:dyDescent="0.2"/>
  <sheetData>
    <row r="2" spans="1:11" x14ac:dyDescent="0.2">
      <c r="D2" t="s">
        <v>0</v>
      </c>
      <c r="E2" t="s">
        <v>1</v>
      </c>
      <c r="F2" t="s">
        <v>2</v>
      </c>
    </row>
    <row r="4" spans="1:11" x14ac:dyDescent="0.2">
      <c r="A4" t="s">
        <v>3</v>
      </c>
      <c r="D4">
        <v>3600.57</v>
      </c>
      <c r="E4">
        <v>1098.69</v>
      </c>
      <c r="F4">
        <f>+D4+E4</f>
        <v>4699.26</v>
      </c>
      <c r="I4" s="177"/>
    </row>
    <row r="5" spans="1:11" x14ac:dyDescent="0.2">
      <c r="A5" t="s">
        <v>4</v>
      </c>
      <c r="D5">
        <v>2538.6799999999998</v>
      </c>
      <c r="E5">
        <v>935.93</v>
      </c>
      <c r="F5">
        <f t="shared" ref="F5:F13" si="0">+D5+E5</f>
        <v>3474.6099999999997</v>
      </c>
    </row>
    <row r="6" spans="1:11" x14ac:dyDescent="0.2">
      <c r="A6" t="s">
        <v>5</v>
      </c>
      <c r="D6">
        <v>6240</v>
      </c>
      <c r="E6">
        <v>1440</v>
      </c>
      <c r="F6">
        <f t="shared" si="0"/>
        <v>7680</v>
      </c>
    </row>
    <row r="7" spans="1:11" x14ac:dyDescent="0.2">
      <c r="A7" t="s">
        <v>6</v>
      </c>
      <c r="D7">
        <v>8768.25</v>
      </c>
      <c r="E7">
        <v>2922.75</v>
      </c>
      <c r="F7">
        <f t="shared" si="0"/>
        <v>11691</v>
      </c>
    </row>
    <row r="8" spans="1:11" x14ac:dyDescent="0.2">
      <c r="A8" t="s">
        <v>7</v>
      </c>
      <c r="D8">
        <v>1100</v>
      </c>
      <c r="E8">
        <v>0</v>
      </c>
      <c r="F8">
        <f t="shared" si="0"/>
        <v>1100</v>
      </c>
      <c r="I8" t="s">
        <v>8</v>
      </c>
    </row>
    <row r="9" spans="1:11" x14ac:dyDescent="0.2">
      <c r="A9" t="s">
        <v>9</v>
      </c>
      <c r="D9">
        <v>1890</v>
      </c>
      <c r="E9">
        <v>630</v>
      </c>
      <c r="F9">
        <f t="shared" si="0"/>
        <v>2520</v>
      </c>
    </row>
    <row r="10" spans="1:11" x14ac:dyDescent="0.2">
      <c r="F10">
        <f t="shared" si="0"/>
        <v>0</v>
      </c>
    </row>
    <row r="11" spans="1:11" x14ac:dyDescent="0.2">
      <c r="A11" t="s">
        <v>10</v>
      </c>
      <c r="D11">
        <v>2430</v>
      </c>
      <c r="F11">
        <f t="shared" si="0"/>
        <v>2430</v>
      </c>
      <c r="I11" t="s">
        <v>11</v>
      </c>
      <c r="K11" t="s">
        <v>12</v>
      </c>
    </row>
    <row r="12" spans="1:11" x14ac:dyDescent="0.2">
      <c r="A12" t="s">
        <v>13</v>
      </c>
      <c r="D12">
        <v>19800</v>
      </c>
      <c r="E12">
        <v>4400</v>
      </c>
      <c r="F12">
        <f t="shared" si="0"/>
        <v>24200</v>
      </c>
    </row>
    <row r="13" spans="1:11" x14ac:dyDescent="0.2">
      <c r="F13">
        <f t="shared" si="0"/>
        <v>0</v>
      </c>
    </row>
    <row r="14" spans="1:11" x14ac:dyDescent="0.2">
      <c r="D14">
        <f>SUM(D4:D13)</f>
        <v>46367.5</v>
      </c>
      <c r="E14">
        <f>SUM(E4:E13)</f>
        <v>11427.369999999999</v>
      </c>
      <c r="F14">
        <f>SUM(F4:F13)</f>
        <v>57794.869999999995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O17" sqref="O17"/>
    </sheetView>
  </sheetViews>
  <sheetFormatPr defaultRowHeight="12.75" x14ac:dyDescent="0.2"/>
  <cols>
    <col min="1" max="1" width="30.85546875" customWidth="1"/>
    <col min="2" max="2" width="2.85546875" customWidth="1"/>
    <col min="3" max="3" width="10.140625" bestFit="1" customWidth="1"/>
    <col min="4" max="4" width="10.42578125" customWidth="1"/>
    <col min="5" max="5" width="11" customWidth="1"/>
    <col min="6" max="6" width="17.42578125" bestFit="1" customWidth="1"/>
    <col min="7" max="7" width="3.140625" customWidth="1"/>
    <col min="8" max="8" width="10.140625" customWidth="1"/>
    <col min="9" max="11" width="0" hidden="1" customWidth="1"/>
  </cols>
  <sheetData>
    <row r="1" spans="1:11" x14ac:dyDescent="0.2">
      <c r="A1" s="1" t="s">
        <v>14</v>
      </c>
      <c r="B1" s="2"/>
    </row>
    <row r="2" spans="1:11" x14ac:dyDescent="0.2">
      <c r="A2" s="1" t="s">
        <v>15</v>
      </c>
      <c r="B2" s="2"/>
    </row>
    <row r="3" spans="1:11" x14ac:dyDescent="0.2">
      <c r="A3" s="1">
        <v>2020</v>
      </c>
      <c r="B3" s="2"/>
      <c r="E3" s="4"/>
      <c r="H3" s="4"/>
    </row>
    <row r="4" spans="1:11" ht="13.5" thickBot="1" x14ac:dyDescent="0.25">
      <c r="A4" s="15"/>
      <c r="B4" s="2"/>
      <c r="D4" s="4"/>
      <c r="E4" s="4"/>
      <c r="H4" s="4"/>
      <c r="I4" s="4"/>
    </row>
    <row r="5" spans="1:11" ht="38.25" customHeight="1" x14ac:dyDescent="0.2">
      <c r="A5" s="27" t="s">
        <v>16</v>
      </c>
      <c r="B5" s="2"/>
      <c r="C5" s="200" t="s">
        <v>190</v>
      </c>
      <c r="D5" s="201"/>
      <c r="E5" s="201"/>
      <c r="F5" s="201"/>
      <c r="I5" s="184"/>
      <c r="J5" s="103">
        <v>2018</v>
      </c>
      <c r="K5" s="104"/>
    </row>
    <row r="6" spans="1:11" ht="20.25" customHeight="1" x14ac:dyDescent="0.35">
      <c r="A6" s="7"/>
      <c r="B6" s="8"/>
      <c r="C6" s="95" t="s">
        <v>17</v>
      </c>
      <c r="D6" s="178" t="s">
        <v>18</v>
      </c>
      <c r="E6" s="178" t="s">
        <v>19</v>
      </c>
      <c r="F6" s="178" t="s">
        <v>20</v>
      </c>
      <c r="I6" s="185" t="s">
        <v>21</v>
      </c>
      <c r="J6" t="s">
        <v>22</v>
      </c>
      <c r="K6" s="186" t="s">
        <v>19</v>
      </c>
    </row>
    <row r="7" spans="1:11" x14ac:dyDescent="0.2">
      <c r="A7" s="172" t="s">
        <v>23</v>
      </c>
      <c r="B7" s="12"/>
      <c r="C7" s="96">
        <f>+'20 CAM recovery'!K7</f>
        <v>1402.273359117542</v>
      </c>
      <c r="D7" s="97">
        <f>+'20 tax recovery'!L7</f>
        <v>0</v>
      </c>
      <c r="E7" s="97">
        <f>+'20 INS recovery'!L8</f>
        <v>0</v>
      </c>
      <c r="F7" s="193">
        <f t="shared" ref="F7:F12" si="0">+C7+D7+E7</f>
        <v>1402.273359117542</v>
      </c>
      <c r="I7" s="185">
        <v>-3197.16</v>
      </c>
      <c r="J7">
        <v>0</v>
      </c>
      <c r="K7" s="186">
        <v>0</v>
      </c>
    </row>
    <row r="8" spans="1:11" x14ac:dyDescent="0.2">
      <c r="A8" s="172" t="s">
        <v>24</v>
      </c>
      <c r="B8" s="12"/>
      <c r="C8" s="96">
        <f>+'20 CAM recovery'!K8</f>
        <v>288.18597499584484</v>
      </c>
      <c r="D8" s="97">
        <f>+'20 tax recovery'!L8</f>
        <v>745.02948733170251</v>
      </c>
      <c r="E8" s="97">
        <f>+'20 INS recovery'!L9</f>
        <v>-298.93239953309967</v>
      </c>
      <c r="F8" s="193">
        <f t="shared" si="0"/>
        <v>734.28306279444769</v>
      </c>
      <c r="I8" s="185">
        <v>-728.17</v>
      </c>
      <c r="J8">
        <v>329.32</v>
      </c>
      <c r="K8" s="186">
        <v>-199.34</v>
      </c>
    </row>
    <row r="9" spans="1:11" x14ac:dyDescent="0.2">
      <c r="A9" s="172" t="s">
        <v>25</v>
      </c>
      <c r="B9" s="12"/>
      <c r="C9" s="96">
        <f>+'20 CAM recovery'!K9</f>
        <v>-7128.5954857763645</v>
      </c>
      <c r="D9" s="97">
        <f>+'20 tax recovery'!L9</f>
        <v>8606.1990644219113</v>
      </c>
      <c r="E9" s="97">
        <f>+'20 INS recovery'!L10</f>
        <v>-3388.6531710299569</v>
      </c>
      <c r="F9" s="193">
        <f t="shared" si="0"/>
        <v>-1911.0495923844101</v>
      </c>
      <c r="H9" s="176"/>
      <c r="I9" s="187">
        <v>-10959.35</v>
      </c>
      <c r="J9">
        <v>3800.68</v>
      </c>
      <c r="K9" s="186">
        <v>-2237.4299999999998</v>
      </c>
    </row>
    <row r="10" spans="1:11" x14ac:dyDescent="0.2">
      <c r="A10" s="1" t="s">
        <v>26</v>
      </c>
      <c r="B10" s="28" t="s">
        <v>16</v>
      </c>
      <c r="C10" s="98">
        <f>+'20 CAM recovery'!K10</f>
        <v>0</v>
      </c>
      <c r="D10" s="97">
        <f>+'20 tax recovery'!L10</f>
        <v>11019.67192697769</v>
      </c>
      <c r="E10" s="97">
        <f>+'20 INS recovery'!L11</f>
        <v>2510.7583124895782</v>
      </c>
      <c r="F10" s="193">
        <f t="shared" si="0"/>
        <v>13530.430239467267</v>
      </c>
      <c r="I10" s="185">
        <v>0</v>
      </c>
      <c r="J10">
        <v>10352.65</v>
      </c>
      <c r="K10" s="186">
        <v>2700.03</v>
      </c>
    </row>
    <row r="11" spans="1:11" x14ac:dyDescent="0.2">
      <c r="A11" s="1" t="s">
        <v>27</v>
      </c>
      <c r="B11" s="12"/>
      <c r="C11" s="99">
        <f>+'20 CAM recovery'!K11</f>
        <v>2465.0472541826475</v>
      </c>
      <c r="D11" s="100">
        <f>+'20 tax recovery'!L11</f>
        <v>1301.778250245321</v>
      </c>
      <c r="E11" s="97">
        <f>+'20 INS recovery'!L12</f>
        <v>-577.12033794675062</v>
      </c>
      <c r="F11" s="193">
        <f t="shared" si="0"/>
        <v>3189.7051664812179</v>
      </c>
      <c r="I11" s="187">
        <v>-1804.97</v>
      </c>
      <c r="J11">
        <v>514.24</v>
      </c>
      <c r="K11" s="186">
        <v>-382.71</v>
      </c>
    </row>
    <row r="12" spans="1:11" x14ac:dyDescent="0.2">
      <c r="A12" s="1" t="s">
        <v>28</v>
      </c>
      <c r="B12" s="28" t="s">
        <v>16</v>
      </c>
      <c r="C12" s="96">
        <f>+'20 CAM recovery'!K12</f>
        <v>-377.78335464028328</v>
      </c>
      <c r="D12" s="97">
        <f>+'20 tax recovery'!L12</f>
        <v>6829.17</v>
      </c>
      <c r="E12" s="97">
        <f>+'20 INS recovery'!L13</f>
        <v>974.32910400000014</v>
      </c>
      <c r="F12" s="193">
        <f t="shared" si="0"/>
        <v>7425.7157493597169</v>
      </c>
      <c r="H12" s="176"/>
      <c r="I12" s="185">
        <v>-574.64</v>
      </c>
      <c r="J12">
        <v>6415.96</v>
      </c>
      <c r="K12" s="186">
        <v>1047.78</v>
      </c>
    </row>
    <row r="13" spans="1:11" x14ac:dyDescent="0.2">
      <c r="A13" s="1" t="s">
        <v>29</v>
      </c>
      <c r="B13" s="28" t="s">
        <v>16</v>
      </c>
      <c r="C13" s="101"/>
      <c r="D13" s="101"/>
      <c r="E13" s="101"/>
      <c r="F13" s="193"/>
      <c r="I13" s="185"/>
      <c r="K13" s="186"/>
    </row>
    <row r="14" spans="1:11" x14ac:dyDescent="0.2">
      <c r="A14" s="1"/>
      <c r="B14" s="28"/>
      <c r="C14" s="101"/>
      <c r="D14" s="101"/>
      <c r="E14" s="101"/>
      <c r="F14" s="193"/>
      <c r="I14" s="185"/>
      <c r="K14" s="186"/>
    </row>
    <row r="15" spans="1:11" x14ac:dyDescent="0.2">
      <c r="A15" s="1" t="s">
        <v>30</v>
      </c>
      <c r="B15" s="12"/>
      <c r="C15" s="96">
        <f>SUM(C7:C14)</f>
        <v>-3350.8722521206137</v>
      </c>
      <c r="D15" s="96">
        <f>SUM(D7:D14)</f>
        <v>28501.84872897662</v>
      </c>
      <c r="E15" s="96">
        <f>SUM(E7:E14)</f>
        <v>-779.61849202022881</v>
      </c>
      <c r="F15" s="193">
        <f>SUM(F7:F14)</f>
        <v>24371.357984835784</v>
      </c>
      <c r="I15" s="185"/>
      <c r="K15" s="186"/>
    </row>
    <row r="16" spans="1:11" x14ac:dyDescent="0.2">
      <c r="B16" s="12"/>
      <c r="C16" s="101"/>
      <c r="D16" s="101"/>
      <c r="E16" s="101"/>
      <c r="F16" s="101"/>
      <c r="I16" s="185"/>
      <c r="K16" s="186"/>
    </row>
    <row r="17" spans="1:11" ht="13.5" thickBot="1" x14ac:dyDescent="0.25">
      <c r="A17" s="199"/>
      <c r="B17" s="199"/>
      <c r="C17" s="101"/>
      <c r="D17" s="101"/>
      <c r="E17" s="101"/>
      <c r="F17" s="101"/>
      <c r="I17" s="108"/>
      <c r="J17" s="109"/>
      <c r="K17" s="188"/>
    </row>
    <row r="18" spans="1:11" x14ac:dyDescent="0.2">
      <c r="A18" s="4"/>
      <c r="B18" s="12">
        <f>6800.41-5645</f>
        <v>1155.4099999999999</v>
      </c>
    </row>
    <row r="19" spans="1:11" x14ac:dyDescent="0.2">
      <c r="A19" s="191"/>
      <c r="B19" s="12"/>
    </row>
    <row r="20" spans="1:11" x14ac:dyDescent="0.2">
      <c r="A20" s="1"/>
      <c r="B20" s="12"/>
    </row>
    <row r="21" spans="1:11" x14ac:dyDescent="0.2">
      <c r="A21" s="191"/>
    </row>
    <row r="22" spans="1:11" x14ac:dyDescent="0.2">
      <c r="A22" s="191"/>
    </row>
    <row r="23" spans="1:11" x14ac:dyDescent="0.2">
      <c r="A23" s="1"/>
      <c r="B23" s="12"/>
    </row>
    <row r="24" spans="1:11" x14ac:dyDescent="0.2">
      <c r="A24" s="1"/>
      <c r="B24" s="12"/>
    </row>
    <row r="25" spans="1:11" x14ac:dyDescent="0.2">
      <c r="A25" s="191"/>
    </row>
    <row r="26" spans="1:11" x14ac:dyDescent="0.2">
      <c r="B26" s="12"/>
    </row>
    <row r="28" spans="1:11" x14ac:dyDescent="0.2">
      <c r="A28" s="176"/>
    </row>
    <row r="29" spans="1:11" x14ac:dyDescent="0.2">
      <c r="A29" s="176"/>
    </row>
  </sheetData>
  <mergeCells count="2">
    <mergeCell ref="A17:B17"/>
    <mergeCell ref="C5:F5"/>
  </mergeCell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zoomScaleNormal="100" workbookViewId="0">
      <pane xSplit="1" ySplit="7" topLeftCell="C22" activePane="bottomRight" state="frozen"/>
      <selection pane="topRight" activeCell="M47" sqref="M47"/>
      <selection pane="bottomLeft" activeCell="M47" sqref="M47"/>
      <selection pane="bottomRight" activeCell="Q55" sqref="Q55"/>
    </sheetView>
  </sheetViews>
  <sheetFormatPr defaultColWidth="9.140625" defaultRowHeight="12.75" x14ac:dyDescent="0.2"/>
  <cols>
    <col min="1" max="1" width="28.85546875" style="31" customWidth="1"/>
    <col min="2" max="2" width="15.85546875" style="31" customWidth="1"/>
    <col min="3" max="3" width="7.5703125" style="31" customWidth="1"/>
    <col min="4" max="4" width="14.85546875" style="31" customWidth="1"/>
    <col min="5" max="5" width="9.85546875" style="31" customWidth="1"/>
    <col min="6" max="6" width="3.85546875" style="31" customWidth="1"/>
    <col min="7" max="7" width="14.85546875" style="31" customWidth="1"/>
    <col min="8" max="8" width="9.85546875" style="31" customWidth="1"/>
    <col min="9" max="9" width="3.85546875" style="31" customWidth="1"/>
    <col min="10" max="10" width="14.85546875" style="31" customWidth="1"/>
    <col min="11" max="11" width="7.85546875" style="31" customWidth="1"/>
    <col min="12" max="12" width="2.85546875" style="31" customWidth="1"/>
    <col min="13" max="13" width="14.85546875" style="31" customWidth="1"/>
    <col min="14" max="14" width="7.85546875" style="31" customWidth="1"/>
    <col min="15" max="15" width="2.85546875" style="31" customWidth="1"/>
    <col min="16" max="16" width="14.85546875" style="31" customWidth="1"/>
    <col min="17" max="17" width="7.85546875" style="31" customWidth="1"/>
    <col min="18" max="16384" width="9.140625" style="31"/>
  </cols>
  <sheetData>
    <row r="1" spans="1:17" x14ac:dyDescent="0.2">
      <c r="A1" s="30" t="s">
        <v>14</v>
      </c>
      <c r="D1" s="181"/>
      <c r="E1" s="181"/>
      <c r="F1" s="181"/>
      <c r="G1" s="181"/>
    </row>
    <row r="2" spans="1:17" x14ac:dyDescent="0.2">
      <c r="A2" s="30" t="s">
        <v>15</v>
      </c>
      <c r="D2" s="181"/>
      <c r="E2" s="181"/>
      <c r="F2" s="181"/>
      <c r="G2" s="181"/>
    </row>
    <row r="3" spans="1:17" x14ac:dyDescent="0.2">
      <c r="A3" s="30" t="s">
        <v>188</v>
      </c>
      <c r="D3" s="181"/>
      <c r="E3" s="181"/>
      <c r="F3" s="181"/>
      <c r="G3" s="181"/>
    </row>
    <row r="4" spans="1:17" x14ac:dyDescent="0.2">
      <c r="A4" s="86" t="s">
        <v>16</v>
      </c>
      <c r="B4" s="32"/>
      <c r="C4" s="33"/>
      <c r="D4" s="32"/>
      <c r="E4" s="32"/>
      <c r="F4" s="32"/>
      <c r="G4" s="32"/>
      <c r="H4" s="32"/>
      <c r="I4" s="30"/>
      <c r="J4" s="32"/>
      <c r="K4" s="32"/>
      <c r="L4" s="32"/>
      <c r="M4" s="32"/>
      <c r="N4" s="32"/>
      <c r="O4" s="30"/>
    </row>
    <row r="5" spans="1:17" x14ac:dyDescent="0.2">
      <c r="A5" s="30"/>
      <c r="B5" s="35" t="s">
        <v>16</v>
      </c>
      <c r="C5" s="33"/>
      <c r="D5" s="35" t="s">
        <v>31</v>
      </c>
      <c r="E5" s="32"/>
      <c r="F5" s="32"/>
      <c r="G5" s="35" t="s">
        <v>32</v>
      </c>
      <c r="H5" s="34"/>
      <c r="I5" s="30"/>
      <c r="J5" s="35" t="s">
        <v>33</v>
      </c>
      <c r="K5" s="32"/>
      <c r="L5" s="32"/>
      <c r="M5" s="35" t="s">
        <v>34</v>
      </c>
      <c r="N5" s="32" t="s">
        <v>16</v>
      </c>
      <c r="O5" s="30"/>
      <c r="P5" s="35" t="s">
        <v>35</v>
      </c>
      <c r="Q5" s="32"/>
    </row>
    <row r="6" spans="1:17" x14ac:dyDescent="0.2">
      <c r="A6" s="30"/>
      <c r="B6" s="35" t="s">
        <v>36</v>
      </c>
      <c r="C6" s="33"/>
      <c r="D6" s="35" t="s">
        <v>36</v>
      </c>
      <c r="E6" s="34"/>
      <c r="F6" s="32"/>
      <c r="G6" s="35" t="s">
        <v>36</v>
      </c>
      <c r="H6" s="34"/>
      <c r="I6" s="30"/>
      <c r="J6" s="35" t="s">
        <v>36</v>
      </c>
      <c r="K6" s="32"/>
      <c r="L6" s="32"/>
      <c r="M6" s="35" t="s">
        <v>36</v>
      </c>
      <c r="N6" s="34"/>
      <c r="O6" s="30"/>
      <c r="P6" s="35" t="s">
        <v>36</v>
      </c>
      <c r="Q6" s="32"/>
    </row>
    <row r="7" spans="1:17" x14ac:dyDescent="0.2">
      <c r="A7" s="174"/>
      <c r="B7" s="36" t="s">
        <v>37</v>
      </c>
      <c r="D7" s="36" t="s">
        <v>38</v>
      </c>
      <c r="E7" s="37" t="s">
        <v>39</v>
      </c>
      <c r="G7" s="36" t="s">
        <v>40</v>
      </c>
      <c r="H7" s="37" t="s">
        <v>39</v>
      </c>
      <c r="J7" s="36" t="s">
        <v>41</v>
      </c>
      <c r="K7" s="37" t="s">
        <v>39</v>
      </c>
      <c r="M7" s="36" t="s">
        <v>42</v>
      </c>
      <c r="N7" s="37" t="s">
        <v>39</v>
      </c>
      <c r="P7" s="36" t="s">
        <v>41</v>
      </c>
      <c r="Q7" s="37" t="s">
        <v>39</v>
      </c>
    </row>
    <row r="8" spans="1:17" x14ac:dyDescent="0.2">
      <c r="A8" s="174"/>
      <c r="B8" s="38"/>
      <c r="D8" s="38"/>
      <c r="E8" s="38"/>
      <c r="G8" s="38"/>
      <c r="H8" s="38"/>
      <c r="J8" s="38"/>
      <c r="M8" s="38"/>
      <c r="N8" s="38"/>
    </row>
    <row r="9" spans="1:17" x14ac:dyDescent="0.2">
      <c r="A9" s="174" t="s">
        <v>3</v>
      </c>
      <c r="B9" s="39">
        <v>4149.57</v>
      </c>
      <c r="C9" s="39"/>
      <c r="D9" s="198">
        <f>B9</f>
        <v>4149.57</v>
      </c>
      <c r="E9" s="40" t="s">
        <v>16</v>
      </c>
      <c r="F9" s="39"/>
      <c r="G9" s="39">
        <f>B9</f>
        <v>4149.57</v>
      </c>
      <c r="H9" s="70">
        <v>0.05</v>
      </c>
      <c r="I9" s="39"/>
      <c r="J9" s="39">
        <f>B9</f>
        <v>4149.57</v>
      </c>
      <c r="K9" s="70">
        <v>0.05</v>
      </c>
      <c r="L9" s="42"/>
      <c r="M9" s="39">
        <f>B9</f>
        <v>4149.57</v>
      </c>
      <c r="N9" s="39"/>
      <c r="O9" s="39"/>
      <c r="P9" s="39">
        <f>B9</f>
        <v>4149.57</v>
      </c>
      <c r="Q9" s="39"/>
    </row>
    <row r="10" spans="1:17" x14ac:dyDescent="0.2">
      <c r="A10" s="31" t="s">
        <v>43</v>
      </c>
      <c r="B10" s="39">
        <v>4424.0200000000004</v>
      </c>
      <c r="C10" s="39"/>
      <c r="D10" s="198">
        <f t="shared" ref="D10:D30" si="0">B10</f>
        <v>4424.0200000000004</v>
      </c>
      <c r="E10" s="43" t="s">
        <v>16</v>
      </c>
      <c r="F10" s="39"/>
      <c r="G10" s="39">
        <f t="shared" ref="G10:G30" si="1">B10</f>
        <v>4424.0200000000004</v>
      </c>
      <c r="H10" s="41" t="s">
        <v>44</v>
      </c>
      <c r="I10" s="39"/>
      <c r="J10" s="39">
        <f t="shared" ref="J10:J27" si="2">B10</f>
        <v>4424.0200000000004</v>
      </c>
      <c r="K10" s="44" t="s">
        <v>16</v>
      </c>
      <c r="L10" s="45"/>
      <c r="M10" s="39">
        <f t="shared" ref="M10:M30" si="3">B10</f>
        <v>4424.0200000000004</v>
      </c>
      <c r="N10" s="46" t="s">
        <v>16</v>
      </c>
      <c r="P10" s="39">
        <f>B10</f>
        <v>4424.0200000000004</v>
      </c>
    </row>
    <row r="11" spans="1:17" x14ac:dyDescent="0.2">
      <c r="A11" s="31" t="s">
        <v>45</v>
      </c>
      <c r="B11" s="39">
        <v>3055.16</v>
      </c>
      <c r="C11" s="39"/>
      <c r="D11" s="39">
        <f t="shared" si="0"/>
        <v>3055.16</v>
      </c>
      <c r="E11" s="43" t="s">
        <v>16</v>
      </c>
      <c r="F11" s="39"/>
      <c r="G11" s="39">
        <f t="shared" si="1"/>
        <v>3055.16</v>
      </c>
      <c r="H11" s="41" t="s">
        <v>16</v>
      </c>
      <c r="I11" s="39"/>
      <c r="J11" s="39">
        <f t="shared" si="2"/>
        <v>3055.16</v>
      </c>
      <c r="K11" s="39"/>
      <c r="L11" s="39"/>
      <c r="M11" s="39">
        <f t="shared" si="3"/>
        <v>3055.16</v>
      </c>
      <c r="N11" s="47" t="s">
        <v>16</v>
      </c>
      <c r="P11" s="39">
        <f>B11</f>
        <v>3055.16</v>
      </c>
    </row>
    <row r="12" spans="1:17" x14ac:dyDescent="0.2">
      <c r="A12" s="31" t="s">
        <v>46</v>
      </c>
      <c r="B12" s="182">
        <v>8147.65</v>
      </c>
      <c r="C12" s="39"/>
      <c r="D12" s="39">
        <f t="shared" si="0"/>
        <v>8147.65</v>
      </c>
      <c r="E12" s="43" t="s">
        <v>16</v>
      </c>
      <c r="F12" s="39"/>
      <c r="G12" s="39">
        <f t="shared" si="1"/>
        <v>8147.65</v>
      </c>
      <c r="H12" s="41" t="s">
        <v>16</v>
      </c>
      <c r="I12" s="39"/>
      <c r="J12" s="39">
        <f>B12</f>
        <v>8147.65</v>
      </c>
      <c r="K12" s="39"/>
      <c r="L12" s="39"/>
      <c r="M12" s="39">
        <f t="shared" si="3"/>
        <v>8147.65</v>
      </c>
      <c r="N12" s="47" t="s">
        <v>16</v>
      </c>
      <c r="P12" s="39">
        <f t="shared" ref="P12:P30" si="4">B12</f>
        <v>8147.65</v>
      </c>
    </row>
    <row r="13" spans="1:17" x14ac:dyDescent="0.2">
      <c r="A13" s="31" t="s">
        <v>47</v>
      </c>
      <c r="B13" s="182">
        <v>7970</v>
      </c>
      <c r="C13" s="39"/>
      <c r="D13" s="39">
        <f t="shared" si="0"/>
        <v>7970</v>
      </c>
      <c r="E13" s="43" t="s">
        <v>16</v>
      </c>
      <c r="F13" s="39"/>
      <c r="G13" s="39">
        <f t="shared" si="1"/>
        <v>7970</v>
      </c>
      <c r="H13" s="41" t="s">
        <v>16</v>
      </c>
      <c r="I13" s="39"/>
      <c r="J13" s="39">
        <f t="shared" si="2"/>
        <v>7970</v>
      </c>
      <c r="K13" s="39"/>
      <c r="L13" s="39"/>
      <c r="M13" s="39">
        <f t="shared" si="3"/>
        <v>7970</v>
      </c>
      <c r="N13" s="47" t="s">
        <v>16</v>
      </c>
      <c r="P13" s="39">
        <f t="shared" si="4"/>
        <v>7970</v>
      </c>
    </row>
    <row r="14" spans="1:17" x14ac:dyDescent="0.2">
      <c r="A14" s="31" t="s">
        <v>48</v>
      </c>
      <c r="B14" s="182">
        <v>0</v>
      </c>
      <c r="C14" s="39"/>
      <c r="D14" s="39">
        <f t="shared" si="0"/>
        <v>0</v>
      </c>
      <c r="E14" s="43" t="s">
        <v>16</v>
      </c>
      <c r="F14" s="39"/>
      <c r="G14" s="39">
        <f t="shared" si="1"/>
        <v>0</v>
      </c>
      <c r="H14" s="41" t="s">
        <v>16</v>
      </c>
      <c r="I14" s="39"/>
      <c r="J14" s="39">
        <f t="shared" si="2"/>
        <v>0</v>
      </c>
      <c r="K14" s="39"/>
      <c r="L14" s="39"/>
      <c r="M14" s="39">
        <f t="shared" si="3"/>
        <v>0</v>
      </c>
      <c r="N14" s="47" t="s">
        <v>16</v>
      </c>
      <c r="P14" s="39">
        <f t="shared" si="4"/>
        <v>0</v>
      </c>
    </row>
    <row r="15" spans="1:17" x14ac:dyDescent="0.2">
      <c r="A15" s="31" t="s">
        <v>49</v>
      </c>
      <c r="B15" s="182">
        <v>0</v>
      </c>
      <c r="C15" s="39"/>
      <c r="D15" s="39">
        <f t="shared" si="0"/>
        <v>0</v>
      </c>
      <c r="E15" s="43" t="s">
        <v>16</v>
      </c>
      <c r="F15" s="39"/>
      <c r="G15" s="39">
        <f t="shared" si="1"/>
        <v>0</v>
      </c>
      <c r="H15" s="41"/>
      <c r="I15" s="39"/>
      <c r="J15" s="39">
        <f t="shared" si="2"/>
        <v>0</v>
      </c>
      <c r="K15" s="39"/>
      <c r="L15" s="39"/>
      <c r="M15" s="39">
        <f t="shared" si="3"/>
        <v>0</v>
      </c>
      <c r="N15" s="48" t="s">
        <v>16</v>
      </c>
      <c r="P15" s="39">
        <f t="shared" si="4"/>
        <v>0</v>
      </c>
    </row>
    <row r="16" spans="1:17" x14ac:dyDescent="0.2">
      <c r="A16" s="31" t="s">
        <v>50</v>
      </c>
      <c r="B16" s="182">
        <v>11691</v>
      </c>
      <c r="C16" s="39"/>
      <c r="D16" s="39">
        <f t="shared" si="0"/>
        <v>11691</v>
      </c>
      <c r="E16" s="43" t="s">
        <v>16</v>
      </c>
      <c r="F16" s="39"/>
      <c r="G16" s="39">
        <f t="shared" si="1"/>
        <v>11691</v>
      </c>
      <c r="H16" s="41"/>
      <c r="I16" s="39"/>
      <c r="J16" s="39">
        <f t="shared" si="2"/>
        <v>11691</v>
      </c>
      <c r="K16" s="39"/>
      <c r="L16" s="39"/>
      <c r="M16" s="39">
        <f t="shared" si="3"/>
        <v>11691</v>
      </c>
      <c r="N16" s="48" t="s">
        <v>16</v>
      </c>
      <c r="P16" s="39">
        <f t="shared" si="4"/>
        <v>11691</v>
      </c>
    </row>
    <row r="17" spans="1:16" x14ac:dyDescent="0.2">
      <c r="A17" s="31" t="s">
        <v>51</v>
      </c>
      <c r="B17" s="182">
        <v>1962.63</v>
      </c>
      <c r="C17" s="39"/>
      <c r="D17" s="39">
        <f t="shared" si="0"/>
        <v>1962.63</v>
      </c>
      <c r="E17" s="43" t="s">
        <v>16</v>
      </c>
      <c r="F17" s="39"/>
      <c r="G17" s="39">
        <f t="shared" si="1"/>
        <v>1962.63</v>
      </c>
      <c r="H17" s="41"/>
      <c r="I17" s="39"/>
      <c r="J17" s="39">
        <f t="shared" si="2"/>
        <v>1962.63</v>
      </c>
      <c r="K17" s="39"/>
      <c r="L17" s="39"/>
      <c r="M17" s="39">
        <f t="shared" si="3"/>
        <v>1962.63</v>
      </c>
      <c r="N17" s="48" t="s">
        <v>16</v>
      </c>
      <c r="P17" s="39">
        <f t="shared" si="4"/>
        <v>1962.63</v>
      </c>
    </row>
    <row r="18" spans="1:16" x14ac:dyDescent="0.2">
      <c r="A18" s="31" t="s">
        <v>7</v>
      </c>
      <c r="B18" s="182">
        <v>6479.97</v>
      </c>
      <c r="C18" s="39"/>
      <c r="D18" s="39">
        <f t="shared" si="0"/>
        <v>6479.97</v>
      </c>
      <c r="E18" s="43" t="s">
        <v>16</v>
      </c>
      <c r="F18" s="39"/>
      <c r="G18" s="39">
        <f t="shared" si="1"/>
        <v>6479.97</v>
      </c>
      <c r="H18" s="41"/>
      <c r="I18" s="39"/>
      <c r="J18" s="39">
        <f t="shared" si="2"/>
        <v>6479.97</v>
      </c>
      <c r="K18" s="39"/>
      <c r="L18" s="39"/>
      <c r="M18" s="39">
        <f t="shared" si="3"/>
        <v>6479.97</v>
      </c>
      <c r="N18" s="48" t="s">
        <v>16</v>
      </c>
      <c r="P18" s="39">
        <f t="shared" si="4"/>
        <v>6479.97</v>
      </c>
    </row>
    <row r="19" spans="1:16" x14ac:dyDescent="0.2">
      <c r="A19" s="31" t="s">
        <v>52</v>
      </c>
      <c r="B19" s="182">
        <v>402.68</v>
      </c>
      <c r="C19" s="39"/>
      <c r="D19" s="39">
        <f t="shared" si="0"/>
        <v>402.68</v>
      </c>
      <c r="E19" s="43" t="s">
        <v>16</v>
      </c>
      <c r="F19" s="39"/>
      <c r="G19" s="39">
        <f t="shared" si="1"/>
        <v>402.68</v>
      </c>
      <c r="H19" s="41"/>
      <c r="I19" s="39"/>
      <c r="J19" s="39">
        <f>+B19</f>
        <v>402.68</v>
      </c>
      <c r="K19" s="39"/>
      <c r="L19" s="39"/>
      <c r="M19" s="39">
        <f t="shared" si="3"/>
        <v>402.68</v>
      </c>
      <c r="N19" s="48" t="s">
        <v>16</v>
      </c>
      <c r="P19" s="39">
        <f t="shared" si="4"/>
        <v>402.68</v>
      </c>
    </row>
    <row r="20" spans="1:16" x14ac:dyDescent="0.2">
      <c r="A20" s="31" t="s">
        <v>53</v>
      </c>
      <c r="B20" s="182">
        <v>145</v>
      </c>
      <c r="C20" s="39"/>
      <c r="D20" s="39">
        <f t="shared" si="0"/>
        <v>145</v>
      </c>
      <c r="E20" s="43" t="s">
        <v>16</v>
      </c>
      <c r="F20" s="39"/>
      <c r="G20" s="39">
        <f t="shared" si="1"/>
        <v>145</v>
      </c>
      <c r="H20" s="41"/>
      <c r="I20" s="39"/>
      <c r="J20" s="39">
        <f t="shared" si="2"/>
        <v>145</v>
      </c>
      <c r="K20" s="39"/>
      <c r="L20" s="39"/>
      <c r="M20" s="39">
        <f t="shared" si="3"/>
        <v>145</v>
      </c>
      <c r="N20" s="48" t="s">
        <v>16</v>
      </c>
      <c r="P20" s="39">
        <f t="shared" si="4"/>
        <v>145</v>
      </c>
    </row>
    <row r="21" spans="1:16" x14ac:dyDescent="0.2">
      <c r="A21" s="31" t="s">
        <v>54</v>
      </c>
      <c r="B21" s="39">
        <v>0</v>
      </c>
      <c r="C21" s="39"/>
      <c r="D21" s="39">
        <f t="shared" si="0"/>
        <v>0</v>
      </c>
      <c r="E21" s="43" t="s">
        <v>16</v>
      </c>
      <c r="F21" s="39"/>
      <c r="G21" s="39">
        <f t="shared" si="1"/>
        <v>0</v>
      </c>
      <c r="H21" s="41"/>
      <c r="I21" s="39"/>
      <c r="J21" s="39">
        <f t="shared" si="2"/>
        <v>0</v>
      </c>
      <c r="K21" s="39"/>
      <c r="L21" s="39"/>
      <c r="M21" s="39">
        <f t="shared" si="3"/>
        <v>0</v>
      </c>
      <c r="N21" s="48" t="s">
        <v>16</v>
      </c>
      <c r="P21" s="39">
        <f t="shared" si="4"/>
        <v>0</v>
      </c>
    </row>
    <row r="22" spans="1:16" x14ac:dyDescent="0.2">
      <c r="A22" s="31" t="s">
        <v>55</v>
      </c>
      <c r="B22" s="39">
        <v>11100</v>
      </c>
      <c r="C22" s="39"/>
      <c r="D22" s="39">
        <f t="shared" si="0"/>
        <v>11100</v>
      </c>
      <c r="E22" s="43" t="s">
        <v>16</v>
      </c>
      <c r="F22" s="39"/>
      <c r="G22" s="39">
        <f t="shared" si="1"/>
        <v>11100</v>
      </c>
      <c r="H22" s="41"/>
      <c r="I22" s="39"/>
      <c r="J22" s="39">
        <f t="shared" si="2"/>
        <v>11100</v>
      </c>
      <c r="K22" s="39"/>
      <c r="L22" s="39"/>
      <c r="M22" s="39">
        <f t="shared" si="3"/>
        <v>11100</v>
      </c>
      <c r="N22" s="48" t="s">
        <v>16</v>
      </c>
      <c r="P22" s="39">
        <f t="shared" si="4"/>
        <v>11100</v>
      </c>
    </row>
    <row r="23" spans="1:16" x14ac:dyDescent="0.2">
      <c r="A23" s="31" t="s">
        <v>9</v>
      </c>
      <c r="B23" s="39">
        <v>2520</v>
      </c>
      <c r="C23" s="39"/>
      <c r="D23" s="39">
        <f t="shared" si="0"/>
        <v>2520</v>
      </c>
      <c r="E23" s="43" t="s">
        <v>16</v>
      </c>
      <c r="F23" s="39"/>
      <c r="G23" s="39">
        <f t="shared" si="1"/>
        <v>2520</v>
      </c>
      <c r="H23" s="41"/>
      <c r="I23" s="39"/>
      <c r="J23" s="39">
        <f t="shared" si="2"/>
        <v>2520</v>
      </c>
      <c r="K23" s="39"/>
      <c r="L23" s="39"/>
      <c r="M23" s="39">
        <f t="shared" si="3"/>
        <v>2520</v>
      </c>
      <c r="N23" s="48" t="s">
        <v>16</v>
      </c>
      <c r="P23" s="39">
        <f t="shared" si="4"/>
        <v>2520</v>
      </c>
    </row>
    <row r="24" spans="1:16" x14ac:dyDescent="0.2">
      <c r="A24" s="31" t="s">
        <v>56</v>
      </c>
      <c r="B24" s="39">
        <v>0</v>
      </c>
      <c r="C24" s="39"/>
      <c r="D24" s="39">
        <f t="shared" si="0"/>
        <v>0</v>
      </c>
      <c r="E24" s="43" t="s">
        <v>16</v>
      </c>
      <c r="F24" s="39"/>
      <c r="G24" s="39">
        <f t="shared" si="1"/>
        <v>0</v>
      </c>
      <c r="H24" s="41"/>
      <c r="I24" s="39"/>
      <c r="J24" s="39">
        <f t="shared" si="2"/>
        <v>0</v>
      </c>
      <c r="K24" s="39"/>
      <c r="L24" s="39"/>
      <c r="M24" s="39">
        <f t="shared" si="3"/>
        <v>0</v>
      </c>
      <c r="N24" s="48" t="s">
        <v>16</v>
      </c>
      <c r="P24" s="39">
        <f t="shared" si="4"/>
        <v>0</v>
      </c>
    </row>
    <row r="25" spans="1:16" x14ac:dyDescent="0.2">
      <c r="A25" s="31" t="s">
        <v>57</v>
      </c>
      <c r="B25" s="39">
        <v>0</v>
      </c>
      <c r="C25" s="39"/>
      <c r="D25" s="39">
        <f t="shared" si="0"/>
        <v>0</v>
      </c>
      <c r="E25" s="43"/>
      <c r="F25" s="39"/>
      <c r="G25" s="39">
        <f t="shared" si="1"/>
        <v>0</v>
      </c>
      <c r="H25" s="41"/>
      <c r="I25" s="39"/>
      <c r="J25" s="39">
        <f t="shared" si="2"/>
        <v>0</v>
      </c>
      <c r="K25" s="39"/>
      <c r="L25" s="39"/>
      <c r="M25" s="39">
        <f t="shared" si="3"/>
        <v>0</v>
      </c>
      <c r="N25" s="48"/>
      <c r="P25" s="39">
        <f t="shared" si="4"/>
        <v>0</v>
      </c>
    </row>
    <row r="26" spans="1:16" x14ac:dyDescent="0.2">
      <c r="A26" s="31" t="s">
        <v>58</v>
      </c>
      <c r="B26" s="39">
        <v>0</v>
      </c>
      <c r="C26" s="39"/>
      <c r="D26" s="39">
        <f t="shared" si="0"/>
        <v>0</v>
      </c>
      <c r="E26" s="43"/>
      <c r="F26" s="39"/>
      <c r="G26" s="39">
        <f t="shared" si="1"/>
        <v>0</v>
      </c>
      <c r="H26" s="41"/>
      <c r="I26" s="39"/>
      <c r="J26" s="39">
        <f t="shared" si="2"/>
        <v>0</v>
      </c>
      <c r="K26" s="39"/>
      <c r="L26" s="39"/>
      <c r="M26" s="39">
        <f t="shared" si="3"/>
        <v>0</v>
      </c>
      <c r="N26" s="48" t="s">
        <v>16</v>
      </c>
      <c r="P26" s="39">
        <f t="shared" si="4"/>
        <v>0</v>
      </c>
    </row>
    <row r="27" spans="1:16" x14ac:dyDescent="0.2">
      <c r="A27" s="31" t="s">
        <v>59</v>
      </c>
      <c r="B27" s="39"/>
      <c r="C27" s="39"/>
      <c r="D27" s="39">
        <f t="shared" si="0"/>
        <v>0</v>
      </c>
      <c r="E27" s="48"/>
      <c r="F27" s="39"/>
      <c r="G27" s="39">
        <f t="shared" si="1"/>
        <v>0</v>
      </c>
      <c r="H27" s="41"/>
      <c r="I27" s="39"/>
      <c r="J27" s="39">
        <f t="shared" si="2"/>
        <v>0</v>
      </c>
      <c r="K27" s="39"/>
      <c r="L27" s="39"/>
      <c r="M27" s="39">
        <f t="shared" si="3"/>
        <v>0</v>
      </c>
      <c r="N27" s="48"/>
      <c r="P27" s="39">
        <f t="shared" si="4"/>
        <v>0</v>
      </c>
    </row>
    <row r="28" spans="1:16" x14ac:dyDescent="0.2">
      <c r="A28" s="31" t="s">
        <v>60</v>
      </c>
      <c r="B28" s="39">
        <v>0</v>
      </c>
      <c r="C28" s="39"/>
      <c r="D28" s="39" t="s">
        <v>61</v>
      </c>
      <c r="E28" s="48"/>
      <c r="F28" s="39"/>
      <c r="G28" s="115">
        <v>0</v>
      </c>
      <c r="H28" s="41" t="s">
        <v>62</v>
      </c>
      <c r="I28" s="39"/>
      <c r="J28" s="39"/>
      <c r="K28" s="39"/>
      <c r="L28" s="39"/>
      <c r="M28" s="39"/>
      <c r="N28" s="48"/>
      <c r="P28" s="39"/>
    </row>
    <row r="29" spans="1:16" x14ac:dyDescent="0.2">
      <c r="A29" s="31" t="s">
        <v>63</v>
      </c>
      <c r="B29" s="39"/>
      <c r="C29" s="39"/>
      <c r="D29" s="39">
        <f>B29</f>
        <v>0</v>
      </c>
      <c r="E29" s="48"/>
      <c r="F29" s="39"/>
      <c r="G29" s="39">
        <f>B29</f>
        <v>0</v>
      </c>
      <c r="H29" s="41"/>
      <c r="I29" s="39"/>
      <c r="J29" s="39">
        <f>B29</f>
        <v>0</v>
      </c>
      <c r="K29" s="39"/>
      <c r="L29" s="39"/>
      <c r="M29" s="39">
        <f t="shared" si="3"/>
        <v>0</v>
      </c>
      <c r="N29" s="48"/>
      <c r="P29" s="39">
        <f t="shared" si="4"/>
        <v>0</v>
      </c>
    </row>
    <row r="30" spans="1:16" ht="15" x14ac:dyDescent="0.35">
      <c r="A30" s="31" t="s">
        <v>64</v>
      </c>
      <c r="B30" s="49">
        <v>0</v>
      </c>
      <c r="C30" s="39"/>
      <c r="D30" s="49">
        <f t="shared" si="0"/>
        <v>0</v>
      </c>
      <c r="E30" s="48"/>
      <c r="F30" s="39"/>
      <c r="G30" s="49">
        <f t="shared" si="1"/>
        <v>0</v>
      </c>
      <c r="H30" s="49"/>
      <c r="I30" s="39"/>
      <c r="J30" s="50">
        <f>B30</f>
        <v>0</v>
      </c>
      <c r="K30" s="39"/>
      <c r="L30" s="39"/>
      <c r="M30" s="50">
        <f t="shared" si="3"/>
        <v>0</v>
      </c>
      <c r="N30" s="48"/>
      <c r="P30" s="50">
        <f t="shared" si="4"/>
        <v>0</v>
      </c>
    </row>
    <row r="31" spans="1:16" x14ac:dyDescent="0.2">
      <c r="B31" s="39">
        <f>SUM(B9:B30)</f>
        <v>62047.68</v>
      </c>
      <c r="C31" s="39"/>
      <c r="D31" s="39">
        <f>SUM(D9:D30)</f>
        <v>62047.68</v>
      </c>
      <c r="E31" s="48"/>
      <c r="F31" s="39"/>
      <c r="G31" s="39">
        <f>SUM(G9:G30)</f>
        <v>62047.68</v>
      </c>
      <c r="H31" s="39"/>
      <c r="I31" s="39"/>
      <c r="J31" s="39">
        <f>SUM(J9:J30)</f>
        <v>62047.68</v>
      </c>
      <c r="K31" s="39"/>
      <c r="L31" s="39"/>
      <c r="M31" s="39">
        <f>SUM(M9:M30)</f>
        <v>62047.68</v>
      </c>
      <c r="N31" s="48"/>
      <c r="P31" s="39">
        <f>SUM(P9:P30)</f>
        <v>62047.68</v>
      </c>
    </row>
    <row r="32" spans="1:16" x14ac:dyDescent="0.2">
      <c r="A32" s="31" t="s">
        <v>65</v>
      </c>
      <c r="B32" s="51">
        <v>35759.43</v>
      </c>
      <c r="C32" s="39"/>
      <c r="D32" s="50">
        <f>B32</f>
        <v>35759.43</v>
      </c>
      <c r="E32" s="48" t="s">
        <v>16</v>
      </c>
      <c r="F32" s="39"/>
      <c r="G32" s="69">
        <f>+G31*5%</f>
        <v>3102.384</v>
      </c>
      <c r="H32" s="92">
        <v>0.05</v>
      </c>
      <c r="I32" s="39"/>
      <c r="J32" s="52">
        <f>J31*0.1</f>
        <v>6204.768</v>
      </c>
      <c r="K32" s="53">
        <v>0.1</v>
      </c>
      <c r="L32" s="54"/>
      <c r="M32" s="50">
        <f>+B32</f>
        <v>35759.43</v>
      </c>
      <c r="N32" s="43" t="s">
        <v>16</v>
      </c>
      <c r="P32" s="50">
        <f>B32</f>
        <v>35759.43</v>
      </c>
    </row>
    <row r="33" spans="1:16" x14ac:dyDescent="0.2">
      <c r="A33" s="31" t="s">
        <v>66</v>
      </c>
      <c r="B33" s="39">
        <f>SUM(B31:B32)</f>
        <v>97807.11</v>
      </c>
      <c r="C33" s="39"/>
      <c r="D33" s="39">
        <f>SUM(D31:D32)</f>
        <v>97807.11</v>
      </c>
      <c r="E33" s="39"/>
      <c r="F33" s="39"/>
      <c r="G33" s="39">
        <f>SUM(G31:G32)</f>
        <v>65150.063999999998</v>
      </c>
      <c r="H33" s="39"/>
      <c r="I33" s="39"/>
      <c r="J33" s="39">
        <f>SUM(J31:J32)</f>
        <v>68252.448000000004</v>
      </c>
      <c r="K33" s="56" t="s">
        <v>16</v>
      </c>
      <c r="L33" s="57"/>
      <c r="M33" s="39">
        <f>SUM(M31:M32)</f>
        <v>97807.11</v>
      </c>
      <c r="N33" s="56" t="s">
        <v>16</v>
      </c>
      <c r="P33" s="39">
        <f>SUM(P31:P32)</f>
        <v>97807.11</v>
      </c>
    </row>
    <row r="34" spans="1:16" x14ac:dyDescent="0.2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P34" s="39"/>
    </row>
    <row r="35" spans="1:16" x14ac:dyDescent="0.2">
      <c r="A35" s="31" t="s">
        <v>67</v>
      </c>
      <c r="B35" s="45" t="s">
        <v>68</v>
      </c>
      <c r="C35" s="39"/>
      <c r="D35" s="39">
        <v>0</v>
      </c>
      <c r="E35" s="58" t="s">
        <v>16</v>
      </c>
      <c r="F35" s="39"/>
      <c r="G35" s="59" t="s">
        <v>68</v>
      </c>
      <c r="H35" s="42" t="s">
        <v>16</v>
      </c>
      <c r="I35" s="39" t="s">
        <v>16</v>
      </c>
      <c r="J35" s="59" t="s">
        <v>68</v>
      </c>
      <c r="K35" s="39" t="s">
        <v>16</v>
      </c>
      <c r="L35" s="39"/>
      <c r="M35" s="39">
        <v>0</v>
      </c>
      <c r="N35" s="40" t="s">
        <v>16</v>
      </c>
      <c r="P35" s="39">
        <f>P33*0.15</f>
        <v>14671.066499999999</v>
      </c>
    </row>
    <row r="36" spans="1:16" x14ac:dyDescent="0.2">
      <c r="B36" s="45"/>
      <c r="C36" s="39"/>
      <c r="D36" s="39"/>
      <c r="E36" s="58"/>
      <c r="F36" s="39"/>
      <c r="G36" s="59"/>
      <c r="H36" s="42"/>
      <c r="I36" s="39"/>
      <c r="J36" s="59"/>
      <c r="K36" s="39"/>
      <c r="L36" s="39"/>
      <c r="M36" s="39"/>
      <c r="N36" s="40"/>
      <c r="P36" s="39"/>
    </row>
    <row r="37" spans="1:16" x14ac:dyDescent="0.2">
      <c r="A37" s="31" t="s">
        <v>69</v>
      </c>
      <c r="B37" s="45"/>
      <c r="C37" s="39"/>
      <c r="D37" s="39"/>
      <c r="E37" s="58"/>
      <c r="F37" s="39"/>
      <c r="G37" s="59"/>
      <c r="H37" s="42"/>
      <c r="I37" s="39"/>
      <c r="J37" s="59"/>
      <c r="K37" s="39"/>
      <c r="L37" s="39"/>
      <c r="M37" s="115">
        <f>26262.24*41893/53973</f>
        <v>20384.340694791845</v>
      </c>
      <c r="N37" s="87"/>
      <c r="P37" s="39">
        <v>0</v>
      </c>
    </row>
    <row r="38" spans="1:16" x14ac:dyDescent="0.2">
      <c r="A38" s="31" t="s">
        <v>70</v>
      </c>
      <c r="B38" s="50">
        <v>0</v>
      </c>
      <c r="C38" s="39"/>
      <c r="D38" s="50">
        <v>0</v>
      </c>
      <c r="E38" s="56" t="s">
        <v>16</v>
      </c>
      <c r="F38" s="39"/>
      <c r="G38" s="50">
        <v>0</v>
      </c>
      <c r="H38" s="56" t="s">
        <v>16</v>
      </c>
      <c r="I38" s="39"/>
      <c r="J38" s="50">
        <v>0</v>
      </c>
      <c r="K38" s="60" t="s">
        <v>16</v>
      </c>
      <c r="L38" s="39"/>
      <c r="M38" s="50">
        <f>+'20 tax recovery'!L18</f>
        <v>61254.32</v>
      </c>
      <c r="N38" s="56" t="s">
        <v>16</v>
      </c>
      <c r="P38" s="50">
        <v>0</v>
      </c>
    </row>
    <row r="39" spans="1:16" x14ac:dyDescent="0.2">
      <c r="B39" s="39" t="s">
        <v>16</v>
      </c>
      <c r="C39" s="39"/>
      <c r="D39" s="39">
        <f>SUM(D33:D38)</f>
        <v>97807.11</v>
      </c>
      <c r="E39" s="56" t="s">
        <v>16</v>
      </c>
      <c r="F39" s="39"/>
      <c r="G39" s="39">
        <f>SUM(G33:G38)</f>
        <v>65150.063999999998</v>
      </c>
      <c r="H39" s="56" t="s">
        <v>16</v>
      </c>
      <c r="I39" s="39"/>
      <c r="J39" s="39">
        <f>SUM(J33:J38)</f>
        <v>68252.448000000004</v>
      </c>
      <c r="K39" s="39"/>
      <c r="L39" s="39"/>
      <c r="M39" s="39">
        <f>SUM(M33:M38)</f>
        <v>179445.77069479183</v>
      </c>
      <c r="N39" s="61" t="s">
        <v>16</v>
      </c>
      <c r="P39" s="39">
        <f>SUM(P33:P38)</f>
        <v>112478.1765</v>
      </c>
    </row>
    <row r="40" spans="1:16" x14ac:dyDescent="0.2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56" t="s">
        <v>16</v>
      </c>
      <c r="P40" s="39"/>
    </row>
    <row r="41" spans="1:16" x14ac:dyDescent="0.2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 t="s">
        <v>16</v>
      </c>
      <c r="P41" s="39"/>
    </row>
    <row r="42" spans="1:16" ht="13.5" thickBot="1" x14ac:dyDescent="0.25">
      <c r="A42" s="31" t="s">
        <v>71</v>
      </c>
      <c r="B42" s="62">
        <f>SUM(B33:B41)</f>
        <v>97807.11</v>
      </c>
      <c r="C42" s="56">
        <f>B42/159454</f>
        <v>0.61338762276267766</v>
      </c>
      <c r="D42" s="62">
        <f>SUM(D39:D41)</f>
        <v>97807.11</v>
      </c>
      <c r="E42" s="39"/>
      <c r="F42" s="39"/>
      <c r="G42" s="62">
        <f>SUM(G39:G41)</f>
        <v>65150.063999999998</v>
      </c>
      <c r="H42" s="39"/>
      <c r="I42" s="39"/>
      <c r="J42" s="62">
        <f>SUM(J39:J41)</f>
        <v>68252.448000000004</v>
      </c>
      <c r="K42" s="39" t="s">
        <v>16</v>
      </c>
      <c r="L42" s="39"/>
      <c r="M42" s="62">
        <f>+M33+M37+M38</f>
        <v>179445.77069479183</v>
      </c>
      <c r="N42" s="39"/>
      <c r="P42" s="62">
        <f>SUM(P39:P41)</f>
        <v>112478.1765</v>
      </c>
    </row>
    <row r="43" spans="1:16" ht="13.5" thickTop="1" x14ac:dyDescent="0.2">
      <c r="B43" s="39"/>
      <c r="C43" s="39"/>
      <c r="D43" s="39"/>
      <c r="E43" s="39"/>
      <c r="F43" s="39"/>
      <c r="G43" s="39"/>
      <c r="H43" s="39"/>
      <c r="I43" s="39"/>
      <c r="J43" s="39" t="s">
        <v>16</v>
      </c>
      <c r="K43" s="39" t="s">
        <v>16</v>
      </c>
      <c r="L43" s="39"/>
      <c r="M43" s="39"/>
      <c r="N43" s="39"/>
    </row>
    <row r="44" spans="1:16" x14ac:dyDescent="0.2">
      <c r="B44" s="39"/>
      <c r="C44" s="115"/>
      <c r="D44" s="115" t="s">
        <v>72</v>
      </c>
      <c r="E44" s="115"/>
      <c r="F44" s="39"/>
      <c r="G44" s="39" t="s">
        <v>73</v>
      </c>
      <c r="H44" s="39"/>
      <c r="I44" s="39"/>
      <c r="J44" s="39"/>
      <c r="K44" s="39"/>
      <c r="L44" s="39"/>
      <c r="M44" s="39"/>
      <c r="N44" s="39"/>
      <c r="P44" s="90" t="s">
        <v>16</v>
      </c>
    </row>
    <row r="45" spans="1:16" x14ac:dyDescent="0.2">
      <c r="B45" s="39"/>
      <c r="C45" s="195">
        <v>20</v>
      </c>
      <c r="D45" s="115">
        <f>(57003.21*110%)+13056.22</f>
        <v>75759.751000000004</v>
      </c>
      <c r="E45" s="115"/>
      <c r="F45" s="84">
        <v>20</v>
      </c>
      <c r="G45" s="39">
        <f>(28455.79*105%)+10536.22</f>
        <v>40414.799500000001</v>
      </c>
      <c r="H45" s="39"/>
      <c r="I45" s="84">
        <v>20</v>
      </c>
      <c r="J45" s="39">
        <f>(30219.51*105%)+10536.22</f>
        <v>42266.705499999996</v>
      </c>
      <c r="K45" s="39"/>
      <c r="L45" s="39"/>
      <c r="M45" s="39"/>
      <c r="N45" s="39"/>
      <c r="P45" s="90"/>
    </row>
    <row r="46" spans="1:16" x14ac:dyDescent="0.2">
      <c r="B46" s="39"/>
      <c r="C46" s="115"/>
      <c r="D46" s="115"/>
      <c r="E46" s="115"/>
      <c r="F46" s="84"/>
      <c r="G46" s="39"/>
      <c r="H46" s="39"/>
      <c r="I46" s="84"/>
      <c r="J46" s="39"/>
      <c r="K46" s="39"/>
      <c r="L46" s="39"/>
      <c r="M46" s="39"/>
      <c r="N46" s="39"/>
      <c r="P46" s="90"/>
    </row>
    <row r="47" spans="1:16" x14ac:dyDescent="0.2">
      <c r="B47" s="39"/>
      <c r="C47" s="183">
        <v>19</v>
      </c>
      <c r="D47" s="115">
        <f>51821*110%+9187.64</f>
        <v>66190.740000000005</v>
      </c>
      <c r="E47" s="115"/>
      <c r="F47" s="196">
        <v>19</v>
      </c>
      <c r="G47" s="39">
        <f>(27100.75*105%)+9187.64</f>
        <v>37643.427500000005</v>
      </c>
      <c r="H47" s="39"/>
      <c r="I47" s="84">
        <v>19</v>
      </c>
      <c r="J47" s="39">
        <f>(28780.49*105%)+9187.64</f>
        <v>39407.154500000004</v>
      </c>
      <c r="K47" s="39"/>
      <c r="L47" s="39"/>
      <c r="M47" s="39"/>
      <c r="N47" s="39"/>
      <c r="P47" s="90"/>
    </row>
    <row r="48" spans="1:16" x14ac:dyDescent="0.2">
      <c r="B48" s="39"/>
      <c r="C48" s="115"/>
      <c r="D48" s="115"/>
      <c r="E48" s="115"/>
      <c r="F48" s="39"/>
      <c r="G48" s="39"/>
      <c r="H48" s="39"/>
      <c r="I48" s="39"/>
      <c r="J48" s="39"/>
      <c r="K48" s="39"/>
      <c r="L48" s="39"/>
      <c r="M48" s="39"/>
      <c r="N48" s="39"/>
      <c r="P48" s="90"/>
    </row>
    <row r="49" spans="2:16" x14ac:dyDescent="0.2">
      <c r="B49" s="39"/>
      <c r="C49" s="163">
        <v>18</v>
      </c>
      <c r="D49" s="115">
        <f>60106.52*110%</f>
        <v>66117.172000000006</v>
      </c>
      <c r="E49" s="115"/>
      <c r="F49" s="84">
        <v>18</v>
      </c>
      <c r="G49" s="39">
        <v>35274.61</v>
      </c>
      <c r="H49" s="189"/>
      <c r="I49" s="84">
        <v>18</v>
      </c>
      <c r="J49" s="39">
        <f>(25421+3359.49)+4699.26+3474.61</f>
        <v>36954.36</v>
      </c>
      <c r="K49" s="39"/>
      <c r="L49" s="39"/>
      <c r="M49" s="39"/>
      <c r="N49" s="39"/>
      <c r="P49" s="90"/>
    </row>
    <row r="50" spans="2:16" x14ac:dyDescent="0.2">
      <c r="B50" s="39"/>
      <c r="C50" s="115"/>
      <c r="D50" s="115"/>
      <c r="E50" s="115"/>
      <c r="F50" s="39"/>
      <c r="G50" s="39"/>
      <c r="H50" s="39"/>
      <c r="I50" s="39"/>
      <c r="J50" s="39"/>
      <c r="K50" s="39"/>
      <c r="L50" s="39"/>
      <c r="M50" s="39"/>
      <c r="N50" s="39"/>
      <c r="P50" s="90"/>
    </row>
    <row r="51" spans="2:16" x14ac:dyDescent="0.2">
      <c r="B51" s="39"/>
      <c r="C51" s="163">
        <v>17</v>
      </c>
      <c r="D51" s="115">
        <f>(67337.6*110%)+D9+D10</f>
        <v>82644.950000000026</v>
      </c>
      <c r="E51" s="115"/>
      <c r="F51" s="84">
        <v>17</v>
      </c>
      <c r="G51" s="39">
        <f>(41394.27*105%)+(G9+G10+G17)*105%</f>
        <v>54527.014500000005</v>
      </c>
      <c r="H51" s="39"/>
      <c r="I51" s="84">
        <v>17</v>
      </c>
      <c r="J51" s="39">
        <f>(43365*105%)+(G9+G10)*110%</f>
        <v>54964.199000000001</v>
      </c>
      <c r="K51" s="39"/>
      <c r="L51" s="39"/>
      <c r="M51" s="39"/>
      <c r="N51" s="39"/>
      <c r="P51" s="90"/>
    </row>
    <row r="52" spans="2:16" x14ac:dyDescent="0.2">
      <c r="B52" s="39"/>
      <c r="C52" s="115"/>
      <c r="D52" s="115"/>
      <c r="E52" s="115"/>
      <c r="F52" s="39"/>
      <c r="G52" s="39"/>
      <c r="H52" s="39"/>
      <c r="I52" s="39"/>
      <c r="J52" s="39"/>
      <c r="K52" s="39"/>
      <c r="L52" s="39"/>
      <c r="M52" s="39"/>
      <c r="N52" s="39"/>
      <c r="P52" s="90"/>
    </row>
    <row r="53" spans="2:16" x14ac:dyDescent="0.2">
      <c r="B53" s="39"/>
      <c r="C53" s="116">
        <v>16</v>
      </c>
      <c r="D53" s="115">
        <f>(61216*110%)+5036.39+5914.92+0</f>
        <v>78288.91</v>
      </c>
      <c r="E53" s="115"/>
      <c r="F53" s="31">
        <v>16</v>
      </c>
      <c r="G53" s="39">
        <f>(39423.11*105%)+((+G9+G10+G17)*105%)</f>
        <v>52457.296500000004</v>
      </c>
      <c r="H53" s="39"/>
      <c r="I53" s="31">
        <v>16</v>
      </c>
      <c r="J53" s="39">
        <f>(41300*105%)+((J9+J10)*110%)</f>
        <v>52795.949000000001</v>
      </c>
      <c r="K53" s="39"/>
      <c r="L53" s="39"/>
      <c r="M53" s="39"/>
      <c r="N53" s="39"/>
      <c r="P53" s="90"/>
    </row>
    <row r="54" spans="2:16" x14ac:dyDescent="0.2">
      <c r="B54" s="39"/>
      <c r="C54" s="115"/>
      <c r="D54" s="115"/>
      <c r="E54" s="115"/>
      <c r="F54" s="39"/>
      <c r="G54" s="39"/>
      <c r="H54" s="39"/>
      <c r="I54" s="39"/>
      <c r="J54" s="39"/>
      <c r="K54" s="39"/>
      <c r="L54" s="39"/>
      <c r="M54" s="39"/>
      <c r="N54" s="39"/>
      <c r="P54" s="90"/>
    </row>
    <row r="55" spans="2:16" x14ac:dyDescent="0.2">
      <c r="B55" s="39"/>
      <c r="C55" s="116">
        <v>15</v>
      </c>
      <c r="D55" s="115">
        <f>(55650.91*110%)+443.18+3579.25+606</f>
        <v>65844.431000000011</v>
      </c>
      <c r="E55" s="115"/>
      <c r="F55" s="31">
        <v>15</v>
      </c>
      <c r="G55" s="31">
        <f>39423.11+10552.48</f>
        <v>49975.59</v>
      </c>
      <c r="I55" s="31">
        <v>15</v>
      </c>
      <c r="J55" s="31">
        <v>52355.38</v>
      </c>
      <c r="K55" s="39"/>
      <c r="L55" s="39"/>
      <c r="M55" s="39"/>
      <c r="N55" s="39"/>
    </row>
    <row r="56" spans="2:16" x14ac:dyDescent="0.2">
      <c r="B56" s="39"/>
      <c r="C56" s="116"/>
      <c r="D56" s="115"/>
      <c r="E56" s="115"/>
      <c r="K56" s="39"/>
      <c r="L56" s="39"/>
      <c r="M56" s="39"/>
      <c r="N56" s="39"/>
    </row>
    <row r="57" spans="2:16" x14ac:dyDescent="0.2">
      <c r="B57" s="39"/>
      <c r="C57" s="116">
        <v>14</v>
      </c>
      <c r="D57" s="194">
        <v>55650.91</v>
      </c>
      <c r="E57" s="115"/>
      <c r="F57" s="31">
        <v>14</v>
      </c>
      <c r="G57" s="31" t="s">
        <v>74</v>
      </c>
      <c r="I57" s="31">
        <v>14</v>
      </c>
      <c r="J57" s="31" t="s">
        <v>75</v>
      </c>
      <c r="K57" s="57"/>
      <c r="L57" s="39"/>
      <c r="M57" s="64" t="s">
        <v>16</v>
      </c>
      <c r="N57" s="57"/>
    </row>
    <row r="58" spans="2:16" x14ac:dyDescent="0.2">
      <c r="B58" s="39"/>
      <c r="C58" s="39"/>
      <c r="D58" s="63" t="s">
        <v>16</v>
      </c>
      <c r="E58" s="39"/>
      <c r="K58" s="65" t="s">
        <v>16</v>
      </c>
      <c r="L58" s="39"/>
      <c r="M58" s="66" t="s">
        <v>16</v>
      </c>
      <c r="N58" s="65" t="s">
        <v>16</v>
      </c>
    </row>
    <row r="59" spans="2:16" x14ac:dyDescent="0.2">
      <c r="B59" s="31" t="s">
        <v>76</v>
      </c>
      <c r="C59" s="39"/>
      <c r="D59" s="39" t="s">
        <v>77</v>
      </c>
      <c r="E59" s="39"/>
      <c r="F59" s="83">
        <v>13</v>
      </c>
      <c r="G59" s="39">
        <f>+G62*105%</f>
        <v>59407.866000000002</v>
      </c>
      <c r="H59" s="39" t="s">
        <v>78</v>
      </c>
      <c r="I59" s="84">
        <v>13</v>
      </c>
      <c r="J59" s="39">
        <f>+J62*105%</f>
        <v>61808.1345</v>
      </c>
      <c r="K59" s="67" t="s">
        <v>16</v>
      </c>
      <c r="L59" s="39"/>
      <c r="M59" s="39" t="s">
        <v>16</v>
      </c>
      <c r="N59" s="39"/>
    </row>
    <row r="60" spans="2:16" x14ac:dyDescent="0.2">
      <c r="C60" s="39"/>
      <c r="D60" s="39" t="s">
        <v>79</v>
      </c>
      <c r="E60" s="39"/>
      <c r="F60" s="39"/>
      <c r="G60" s="39"/>
      <c r="H60" s="39"/>
      <c r="I60" s="39"/>
      <c r="J60" s="39"/>
      <c r="K60" s="67"/>
      <c r="L60" s="39"/>
      <c r="M60" s="39" t="s">
        <v>16</v>
      </c>
      <c r="N60" s="39"/>
    </row>
    <row r="61" spans="2:16" x14ac:dyDescent="0.2">
      <c r="B61" s="31" t="s">
        <v>16</v>
      </c>
      <c r="C61" s="39"/>
      <c r="D61" s="39"/>
      <c r="E61" s="39"/>
      <c r="F61" s="82">
        <v>12</v>
      </c>
      <c r="G61" s="164" t="s">
        <v>80</v>
      </c>
      <c r="H61" s="165"/>
      <c r="I61" s="166">
        <v>12</v>
      </c>
      <c r="J61" s="164" t="s">
        <v>80</v>
      </c>
      <c r="K61" s="65" t="s">
        <v>16</v>
      </c>
      <c r="L61" s="39"/>
      <c r="M61" s="66" t="s">
        <v>16</v>
      </c>
      <c r="N61" s="65" t="s">
        <v>16</v>
      </c>
    </row>
    <row r="62" spans="2:16" x14ac:dyDescent="0.2">
      <c r="B62" s="55" t="s">
        <v>16</v>
      </c>
      <c r="C62" s="55"/>
      <c r="D62" s="55" t="s">
        <v>81</v>
      </c>
      <c r="E62" s="55"/>
      <c r="F62" s="82"/>
      <c r="G62" s="167">
        <v>56578.92</v>
      </c>
      <c r="H62" s="165"/>
      <c r="I62" s="166" t="s">
        <v>16</v>
      </c>
      <c r="J62" s="167">
        <v>58864.89</v>
      </c>
      <c r="K62" s="55"/>
      <c r="L62" s="55"/>
      <c r="M62" s="55" t="s">
        <v>16</v>
      </c>
      <c r="N62" s="55"/>
    </row>
    <row r="63" spans="2:16" x14ac:dyDescent="0.2">
      <c r="B63" s="55" t="s">
        <v>16</v>
      </c>
      <c r="C63" s="39"/>
      <c r="D63" s="39" t="s">
        <v>82</v>
      </c>
      <c r="E63" s="39"/>
      <c r="F63" s="82"/>
      <c r="G63" s="165"/>
      <c r="H63" s="165"/>
      <c r="I63" s="166"/>
      <c r="J63" s="165"/>
      <c r="K63" s="39"/>
      <c r="L63" s="39"/>
      <c r="M63" s="39"/>
      <c r="N63" s="39"/>
    </row>
    <row r="64" spans="2:16" x14ac:dyDescent="0.2">
      <c r="B64" s="55" t="s">
        <v>16</v>
      </c>
      <c r="C64" s="39"/>
      <c r="D64" s="39" t="s">
        <v>83</v>
      </c>
      <c r="E64" s="39"/>
      <c r="F64" s="82">
        <v>11</v>
      </c>
      <c r="G64" s="164" t="s">
        <v>80</v>
      </c>
      <c r="H64" s="165"/>
      <c r="I64" s="168">
        <v>11</v>
      </c>
      <c r="J64" s="164" t="s">
        <v>80</v>
      </c>
      <c r="K64" s="39"/>
      <c r="L64" s="39"/>
      <c r="M64" s="39"/>
      <c r="N64" s="39"/>
    </row>
    <row r="65" spans="1:14" x14ac:dyDescent="0.2">
      <c r="B65" s="39" t="s">
        <v>16</v>
      </c>
      <c r="C65" s="39"/>
      <c r="D65" s="39"/>
      <c r="E65" s="39"/>
      <c r="F65" s="82"/>
      <c r="G65" s="167">
        <v>53884.69</v>
      </c>
      <c r="H65" s="165"/>
      <c r="I65" s="167" t="s">
        <v>16</v>
      </c>
      <c r="J65" s="167">
        <v>56061.8</v>
      </c>
      <c r="K65" s="39"/>
      <c r="L65" s="39"/>
      <c r="M65" s="39"/>
      <c r="N65" s="39"/>
    </row>
    <row r="66" spans="1:14" x14ac:dyDescent="0.2">
      <c r="A66" s="31" t="s">
        <v>16</v>
      </c>
      <c r="B66" s="39" t="s">
        <v>16</v>
      </c>
      <c r="C66" s="39"/>
      <c r="D66" s="39"/>
      <c r="E66" s="39"/>
      <c r="F66" s="81"/>
      <c r="G66" s="169"/>
      <c r="H66" s="169"/>
      <c r="I66" s="169"/>
      <c r="J66" s="169" t="s">
        <v>16</v>
      </c>
      <c r="K66" s="39"/>
      <c r="L66" s="39"/>
      <c r="M66" s="39"/>
      <c r="N66" s="39"/>
    </row>
    <row r="67" spans="1:14" x14ac:dyDescent="0.2">
      <c r="A67" s="31" t="s">
        <v>16</v>
      </c>
      <c r="B67" s="39" t="s">
        <v>16</v>
      </c>
      <c r="C67" s="39"/>
      <c r="D67" s="39"/>
      <c r="E67" s="39"/>
      <c r="F67" s="82">
        <v>10</v>
      </c>
      <c r="G67" s="164" t="s">
        <v>80</v>
      </c>
      <c r="H67" s="165"/>
      <c r="I67" s="166">
        <v>10</v>
      </c>
      <c r="J67" s="164" t="s">
        <v>80</v>
      </c>
      <c r="K67" s="39"/>
      <c r="L67" s="39"/>
      <c r="M67" s="39"/>
      <c r="N67" s="39"/>
    </row>
    <row r="68" spans="1:14" x14ac:dyDescent="0.2">
      <c r="B68" s="39" t="s">
        <v>16</v>
      </c>
      <c r="C68" s="39"/>
      <c r="D68" s="39"/>
      <c r="E68" s="39"/>
      <c r="F68" s="82"/>
      <c r="G68" s="167">
        <v>51318.75</v>
      </c>
      <c r="H68" s="165"/>
      <c r="I68" s="166" t="s">
        <v>16</v>
      </c>
      <c r="J68" s="167">
        <v>53392.19</v>
      </c>
      <c r="K68" s="39"/>
      <c r="L68" s="39"/>
      <c r="M68" s="39"/>
      <c r="N68" s="39"/>
    </row>
    <row r="69" spans="1:14" x14ac:dyDescent="0.2">
      <c r="B69" s="39"/>
      <c r="C69" s="39"/>
      <c r="D69" s="39"/>
      <c r="E69" s="39"/>
      <c r="F69" s="39"/>
      <c r="G69" s="165"/>
      <c r="H69" s="165"/>
      <c r="I69" s="165"/>
      <c r="J69" s="165" t="s">
        <v>16</v>
      </c>
      <c r="K69" s="39"/>
      <c r="L69" s="39"/>
      <c r="M69" s="39"/>
      <c r="N69" s="39"/>
    </row>
    <row r="70" spans="1:14" x14ac:dyDescent="0.2">
      <c r="B70" s="68" t="s">
        <v>16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x14ac:dyDescent="0.2">
      <c r="B71" s="68" t="s">
        <v>16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</sheetData>
  <pageMargins left="0.75" right="0.75" top="1" bottom="1" header="0.5" footer="0.5"/>
  <pageSetup scale="65" fitToWidth="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abSelected="1" zoomScaleNormal="100" workbookViewId="0">
      <selection activeCell="N4" sqref="N4"/>
    </sheetView>
  </sheetViews>
  <sheetFormatPr defaultRowHeight="12.75" x14ac:dyDescent="0.2"/>
  <cols>
    <col min="1" max="1" width="30.85546875" customWidth="1"/>
    <col min="2" max="2" width="11.85546875" bestFit="1" customWidth="1"/>
    <col min="3" max="3" width="2.85546875" customWidth="1"/>
    <col min="4" max="6" width="10.85546875" customWidth="1"/>
    <col min="9" max="9" width="12.140625" customWidth="1"/>
    <col min="10" max="10" width="11.85546875" customWidth="1"/>
    <col min="11" max="11" width="11" customWidth="1"/>
    <col min="12" max="12" width="11" hidden="1" customWidth="1"/>
    <col min="13" max="13" width="10.42578125" hidden="1" customWidth="1"/>
  </cols>
  <sheetData>
    <row r="1" spans="1:14" x14ac:dyDescent="0.2">
      <c r="A1" s="1" t="s">
        <v>14</v>
      </c>
      <c r="B1" s="2"/>
      <c r="C1" s="2"/>
      <c r="D1" s="2"/>
      <c r="E1" s="179"/>
      <c r="F1" s="180"/>
      <c r="G1" s="180"/>
      <c r="H1" s="190"/>
      <c r="I1" s="179"/>
      <c r="J1" s="162"/>
      <c r="K1" s="2"/>
      <c r="L1" s="2"/>
    </row>
    <row r="2" spans="1:14" x14ac:dyDescent="0.2">
      <c r="A2" s="1" t="s">
        <v>15</v>
      </c>
      <c r="B2" s="2"/>
      <c r="C2" s="2"/>
      <c r="D2" s="2"/>
      <c r="E2" s="179" t="s">
        <v>191</v>
      </c>
      <c r="F2" s="180"/>
      <c r="G2" s="180"/>
      <c r="H2" s="190"/>
      <c r="I2" s="179"/>
      <c r="J2" s="2"/>
      <c r="K2" s="2"/>
    </row>
    <row r="3" spans="1:14" x14ac:dyDescent="0.2">
      <c r="A3" s="1" t="s">
        <v>189</v>
      </c>
      <c r="B3" s="2"/>
      <c r="C3" s="2"/>
      <c r="D3" s="2"/>
      <c r="E3" s="179"/>
      <c r="F3" s="180"/>
      <c r="G3" s="180"/>
      <c r="H3" s="190"/>
      <c r="I3" s="179"/>
      <c r="K3" s="2"/>
      <c r="L3" s="2"/>
    </row>
    <row r="4" spans="1:14" x14ac:dyDescent="0.2">
      <c r="A4" s="15" t="s">
        <v>16</v>
      </c>
      <c r="B4" s="2"/>
      <c r="C4" s="2"/>
      <c r="D4" s="2"/>
      <c r="E4" s="179"/>
      <c r="F4" s="180"/>
      <c r="G4" s="180"/>
      <c r="H4" s="190"/>
      <c r="I4" s="179"/>
      <c r="J4" s="2"/>
      <c r="K4" s="2"/>
      <c r="L4" s="2"/>
      <c r="N4" s="4"/>
    </row>
    <row r="5" spans="1:14" x14ac:dyDescent="0.2">
      <c r="A5" s="27" t="s">
        <v>16</v>
      </c>
      <c r="B5" s="2"/>
      <c r="C5" s="2"/>
      <c r="D5" s="2"/>
      <c r="E5" s="2"/>
      <c r="F5" s="1"/>
      <c r="G5" s="1"/>
      <c r="H5" s="6"/>
      <c r="I5" s="2"/>
      <c r="J5" s="2"/>
      <c r="K5" s="2"/>
      <c r="L5" s="2"/>
      <c r="M5" s="4"/>
      <c r="N5" s="4"/>
    </row>
    <row r="6" spans="1:14" ht="47.1" customHeight="1" x14ac:dyDescent="0.35">
      <c r="A6" s="7"/>
      <c r="B6" s="8" t="s">
        <v>84</v>
      </c>
      <c r="C6" s="8"/>
      <c r="D6" s="8" t="s">
        <v>85</v>
      </c>
      <c r="E6" s="8" t="s">
        <v>86</v>
      </c>
      <c r="F6" s="10" t="s">
        <v>87</v>
      </c>
      <c r="G6" s="10" t="s">
        <v>88</v>
      </c>
      <c r="H6" s="11" t="s">
        <v>89</v>
      </c>
      <c r="I6" s="8" t="s">
        <v>90</v>
      </c>
      <c r="J6" s="8" t="s">
        <v>91</v>
      </c>
      <c r="K6" s="8" t="s">
        <v>92</v>
      </c>
      <c r="L6" s="8" t="s">
        <v>93</v>
      </c>
      <c r="M6" s="8"/>
    </row>
    <row r="7" spans="1:14" x14ac:dyDescent="0.2">
      <c r="A7" s="172" t="s">
        <v>94</v>
      </c>
      <c r="B7" s="5">
        <f>'20 CAM Pools'!M42</f>
        <v>179445.77069479183</v>
      </c>
      <c r="C7" s="12"/>
      <c r="D7" s="12">
        <v>4510</v>
      </c>
      <c r="E7" s="12">
        <v>41893</v>
      </c>
      <c r="F7" s="13">
        <f>+D7/E7</f>
        <v>0.10765521686200559</v>
      </c>
      <c r="G7">
        <v>366</v>
      </c>
      <c r="H7" s="5">
        <f t="shared" ref="H7:H13" si="0">+G7/366</f>
        <v>1</v>
      </c>
      <c r="I7" s="18">
        <f>+B7*F7*H7</f>
        <v>19318.273359117542</v>
      </c>
      <c r="J7" s="18">
        <v>17916</v>
      </c>
      <c r="K7" s="93">
        <f t="shared" ref="K7:K12" si="1">+I7-J7</f>
        <v>1402.273359117542</v>
      </c>
      <c r="L7" s="170">
        <v>-2642.2</v>
      </c>
      <c r="M7" s="161">
        <f>+K7-L7</f>
        <v>4044.4733591175418</v>
      </c>
      <c r="N7" s="197"/>
    </row>
    <row r="8" spans="1:14" x14ac:dyDescent="0.2">
      <c r="A8" s="172" t="s">
        <v>95</v>
      </c>
      <c r="B8" s="5">
        <f>+'20 CAM Pools'!D45</f>
        <v>75759.751000000004</v>
      </c>
      <c r="C8" s="12"/>
      <c r="D8" s="12">
        <v>2715</v>
      </c>
      <c r="E8" s="12">
        <v>42113</v>
      </c>
      <c r="F8" s="13">
        <f>+D8/E8</f>
        <v>6.4469403747061477E-2</v>
      </c>
      <c r="G8">
        <v>366</v>
      </c>
      <c r="H8" s="5">
        <f t="shared" si="0"/>
        <v>1</v>
      </c>
      <c r="I8" s="18">
        <f>+B8*F8*H8</f>
        <v>4884.1859749958448</v>
      </c>
      <c r="J8" s="18">
        <v>4596</v>
      </c>
      <c r="K8" s="93">
        <f t="shared" si="1"/>
        <v>288.18597499584484</v>
      </c>
      <c r="L8" s="170">
        <v>-720.97</v>
      </c>
      <c r="M8" s="161">
        <f t="shared" ref="M8:M13" si="2">+K8-L8</f>
        <v>1009.1559749958449</v>
      </c>
      <c r="N8" s="197"/>
    </row>
    <row r="9" spans="1:14" x14ac:dyDescent="0.2">
      <c r="A9" s="172" t="s">
        <v>96</v>
      </c>
      <c r="B9" s="75">
        <f>+'20 CAM Pools'!G45</f>
        <v>40414.799500000001</v>
      </c>
      <c r="C9" s="12"/>
      <c r="D9" s="12">
        <v>31385</v>
      </c>
      <c r="E9" s="12">
        <v>42113</v>
      </c>
      <c r="F9" s="13">
        <f>+D9/E9</f>
        <v>0.74525680906133496</v>
      </c>
      <c r="G9">
        <v>366</v>
      </c>
      <c r="H9" s="5">
        <f t="shared" si="0"/>
        <v>1</v>
      </c>
      <c r="I9" s="18">
        <f>+B9*F9*H9</f>
        <v>30119.404514223635</v>
      </c>
      <c r="J9" s="18">
        <v>37248</v>
      </c>
      <c r="K9" s="93">
        <f t="shared" si="1"/>
        <v>-7128.5954857763645</v>
      </c>
      <c r="L9" s="170">
        <v>-6454.67</v>
      </c>
      <c r="M9" s="161">
        <f t="shared" si="2"/>
        <v>-673.92548577636444</v>
      </c>
    </row>
    <row r="10" spans="1:14" x14ac:dyDescent="0.2">
      <c r="A10" s="1" t="s">
        <v>97</v>
      </c>
      <c r="B10" s="77" t="s">
        <v>98</v>
      </c>
      <c r="C10" s="28" t="s">
        <v>16</v>
      </c>
      <c r="D10" s="12">
        <v>5160</v>
      </c>
      <c r="E10" s="12">
        <v>53973</v>
      </c>
      <c r="F10" s="13">
        <f>D10/$D$15</f>
        <v>9.560335723417264E-2</v>
      </c>
      <c r="G10">
        <v>366</v>
      </c>
      <c r="H10" s="5">
        <f t="shared" si="0"/>
        <v>1</v>
      </c>
      <c r="I10" s="18">
        <v>0</v>
      </c>
      <c r="J10" s="18">
        <v>0</v>
      </c>
      <c r="K10" s="93">
        <f t="shared" si="1"/>
        <v>0</v>
      </c>
      <c r="L10" s="170">
        <v>0</v>
      </c>
      <c r="M10" s="161">
        <f t="shared" si="2"/>
        <v>0</v>
      </c>
    </row>
    <row r="11" spans="1:14" x14ac:dyDescent="0.2">
      <c r="A11" s="1" t="s">
        <v>99</v>
      </c>
      <c r="B11" s="77">
        <f>+'20 CAM Pools'!P42</f>
        <v>112478.1765</v>
      </c>
      <c r="C11" s="12"/>
      <c r="D11" s="12">
        <v>5300</v>
      </c>
      <c r="E11" s="12">
        <v>53973</v>
      </c>
      <c r="F11" s="13">
        <f>D11/$D$15</f>
        <v>9.8197246771533922E-2</v>
      </c>
      <c r="G11">
        <v>366</v>
      </c>
      <c r="H11" s="5">
        <f t="shared" si="0"/>
        <v>1</v>
      </c>
      <c r="I11" s="18">
        <f>+B11*F11*H11</f>
        <v>11045.047254182648</v>
      </c>
      <c r="J11" s="18">
        <v>8580</v>
      </c>
      <c r="K11" s="93">
        <f t="shared" si="1"/>
        <v>2465.0472541826475</v>
      </c>
      <c r="L11" s="170">
        <v>-1792.37</v>
      </c>
      <c r="M11" s="161">
        <f t="shared" si="2"/>
        <v>4257.4172541826474</v>
      </c>
      <c r="N11" s="17"/>
    </row>
    <row r="12" spans="1:14" x14ac:dyDescent="0.2">
      <c r="A12" s="1" t="s">
        <v>100</v>
      </c>
      <c r="B12" s="5">
        <f>+'20 CAM Pools'!J45</f>
        <v>42266.705499999996</v>
      </c>
      <c r="C12" s="28" t="s">
        <v>16</v>
      </c>
      <c r="D12" s="12">
        <v>2000</v>
      </c>
      <c r="E12" s="12">
        <v>53973</v>
      </c>
      <c r="F12" s="13">
        <f>D12/$D$15</f>
        <v>3.705556481944676E-2</v>
      </c>
      <c r="G12">
        <v>366</v>
      </c>
      <c r="H12" s="5">
        <f t="shared" si="0"/>
        <v>1</v>
      </c>
      <c r="I12" s="18">
        <f>+B12*F12*H12</f>
        <v>1566.2166453597167</v>
      </c>
      <c r="J12" s="18">
        <v>1944</v>
      </c>
      <c r="K12" s="93">
        <f t="shared" si="1"/>
        <v>-377.78335464028328</v>
      </c>
      <c r="L12" s="170">
        <v>-570.07000000000005</v>
      </c>
      <c r="M12" s="161">
        <f t="shared" si="2"/>
        <v>192.28664535971677</v>
      </c>
    </row>
    <row r="13" spans="1:14" x14ac:dyDescent="0.2">
      <c r="A13" s="1" t="s">
        <v>29</v>
      </c>
      <c r="B13" s="5">
        <v>0</v>
      </c>
      <c r="C13" s="28" t="s">
        <v>16</v>
      </c>
      <c r="D13" s="71">
        <v>3503</v>
      </c>
      <c r="E13" s="71">
        <v>42113</v>
      </c>
      <c r="F13" s="21">
        <f>D13/$D$15</f>
        <v>6.4902821781261E-2</v>
      </c>
      <c r="G13" s="25">
        <v>366</v>
      </c>
      <c r="H13" s="72">
        <f t="shared" si="0"/>
        <v>1</v>
      </c>
      <c r="I13" s="73">
        <v>0</v>
      </c>
      <c r="J13" s="73">
        <v>0</v>
      </c>
      <c r="K13" s="73"/>
      <c r="L13" s="171"/>
      <c r="M13" s="161">
        <f t="shared" si="2"/>
        <v>0</v>
      </c>
    </row>
    <row r="14" spans="1:14" x14ac:dyDescent="0.2">
      <c r="A14" s="1"/>
      <c r="B14" s="5"/>
      <c r="C14" s="28"/>
      <c r="D14" s="12"/>
      <c r="E14" s="12"/>
      <c r="F14" s="13"/>
      <c r="H14" s="5"/>
      <c r="I14" s="18"/>
      <c r="J14" s="18"/>
      <c r="K14" s="18"/>
      <c r="L14" s="171"/>
    </row>
    <row r="15" spans="1:14" x14ac:dyDescent="0.2">
      <c r="A15" s="1" t="s">
        <v>30</v>
      </c>
      <c r="B15" s="12"/>
      <c r="C15" s="12"/>
      <c r="D15" s="12">
        <v>53973</v>
      </c>
      <c r="E15" s="12"/>
      <c r="F15" s="13">
        <f>D15/$D$15</f>
        <v>1</v>
      </c>
      <c r="H15" s="5"/>
      <c r="I15" s="18">
        <f>SUM(I7:I13)</f>
        <v>66933.127747879393</v>
      </c>
      <c r="J15" s="18">
        <f>SUM(J7:J13)</f>
        <v>70284</v>
      </c>
      <c r="K15" s="18">
        <f>SUM(K7:K13)</f>
        <v>-3350.8722521206137</v>
      </c>
      <c r="L15" s="18">
        <f>SUM(L7:L13)</f>
        <v>-12180.279999999999</v>
      </c>
    </row>
    <row r="16" spans="1:14" x14ac:dyDescent="0.2">
      <c r="B16" s="12"/>
      <c r="C16" s="12"/>
      <c r="D16" s="12" t="s">
        <v>16</v>
      </c>
      <c r="E16" s="12"/>
      <c r="F16" s="17" t="s">
        <v>16</v>
      </c>
      <c r="G16" s="1"/>
      <c r="H16" s="6"/>
      <c r="I16" s="2"/>
      <c r="J16" s="2"/>
      <c r="K16" s="2"/>
      <c r="L16" s="2"/>
    </row>
    <row r="17" spans="1:12" x14ac:dyDescent="0.2">
      <c r="A17" s="199" t="s">
        <v>101</v>
      </c>
      <c r="B17" s="199"/>
      <c r="C17" s="199"/>
      <c r="D17" s="199"/>
      <c r="E17" s="199"/>
      <c r="F17" s="199"/>
      <c r="H17" s="6"/>
      <c r="I17" s="2"/>
      <c r="J17" s="2"/>
      <c r="K17" s="2"/>
      <c r="L17" s="2"/>
    </row>
    <row r="18" spans="1:12" x14ac:dyDescent="0.2">
      <c r="A18" s="4" t="s">
        <v>16</v>
      </c>
      <c r="B18" s="12">
        <f>6800.41-5645</f>
        <v>1155.4099999999999</v>
      </c>
      <c r="C18" s="12"/>
      <c r="D18" s="12"/>
      <c r="E18" s="12"/>
      <c r="H18" s="5"/>
      <c r="I18" s="12"/>
      <c r="J18" s="12"/>
      <c r="K18" s="12"/>
      <c r="L18" s="12"/>
    </row>
    <row r="19" spans="1:12" x14ac:dyDescent="0.2">
      <c r="A19" s="191" t="s">
        <v>102</v>
      </c>
      <c r="B19" s="12"/>
      <c r="C19" s="12"/>
      <c r="D19" s="12"/>
      <c r="E19" s="12"/>
      <c r="H19" s="5"/>
      <c r="I19" s="12"/>
      <c r="J19" s="12"/>
      <c r="K19" s="12"/>
      <c r="L19" s="12"/>
    </row>
    <row r="20" spans="1:12" x14ac:dyDescent="0.2">
      <c r="A20" s="1"/>
      <c r="B20" s="12"/>
      <c r="C20" s="12"/>
      <c r="D20" s="12"/>
      <c r="E20" s="12"/>
      <c r="G20" t="s">
        <v>103</v>
      </c>
      <c r="H20" s="5"/>
      <c r="I20" s="12"/>
      <c r="J20" s="12"/>
      <c r="K20" s="12"/>
      <c r="L20" s="12"/>
    </row>
    <row r="21" spans="1:12" x14ac:dyDescent="0.2">
      <c r="G21" t="s">
        <v>104</v>
      </c>
      <c r="K21" s="12"/>
      <c r="L21" s="12"/>
    </row>
    <row r="22" spans="1:12" x14ac:dyDescent="0.2">
      <c r="K22" s="12"/>
      <c r="L22" s="12"/>
    </row>
    <row r="23" spans="1:12" x14ac:dyDescent="0.2">
      <c r="A23" s="191" t="s">
        <v>105</v>
      </c>
      <c r="H23" s="5"/>
      <c r="I23" s="12"/>
      <c r="J23" s="12"/>
      <c r="K23" s="12"/>
      <c r="L23" s="12"/>
    </row>
    <row r="24" spans="1:12" x14ac:dyDescent="0.2">
      <c r="A24" s="191"/>
      <c r="H24" s="5"/>
      <c r="I24" s="12"/>
      <c r="J24" s="12"/>
      <c r="K24" s="12"/>
      <c r="L24" s="12"/>
    </row>
    <row r="25" spans="1:12" x14ac:dyDescent="0.2">
      <c r="A25" s="1" t="s">
        <v>106</v>
      </c>
      <c r="B25" s="12"/>
      <c r="C25" s="12"/>
      <c r="D25" s="12"/>
      <c r="E25" s="12"/>
      <c r="H25" s="5"/>
      <c r="I25" s="12"/>
      <c r="J25" s="12"/>
      <c r="K25" s="12"/>
      <c r="L25" s="12"/>
    </row>
    <row r="26" spans="1:12" x14ac:dyDescent="0.2">
      <c r="A26" s="1"/>
      <c r="B26" s="12"/>
      <c r="C26" s="12"/>
      <c r="D26" s="12"/>
      <c r="E26" s="12"/>
      <c r="H26" s="5"/>
      <c r="I26" s="12"/>
      <c r="J26" s="12"/>
      <c r="K26" s="12"/>
      <c r="L26" s="12"/>
    </row>
    <row r="27" spans="1:12" x14ac:dyDescent="0.2">
      <c r="A27" s="191" t="s">
        <v>107</v>
      </c>
      <c r="H27" s="5"/>
      <c r="I27" s="12"/>
      <c r="J27" s="12"/>
    </row>
    <row r="28" spans="1:12" x14ac:dyDescent="0.2">
      <c r="A28" s="175"/>
      <c r="H28" s="5"/>
      <c r="I28" s="12"/>
      <c r="J28" s="12"/>
    </row>
    <row r="30" spans="1:12" x14ac:dyDescent="0.2">
      <c r="A30" s="176" t="s">
        <v>16</v>
      </c>
    </row>
  </sheetData>
  <mergeCells count="1">
    <mergeCell ref="A17:F17"/>
  </mergeCells>
  <phoneticPr fontId="4" type="noConversion"/>
  <pageMargins left="0.75" right="0.75" top="1" bottom="1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zoomScaleNormal="100" workbookViewId="0">
      <selection activeCell="I7" sqref="I7"/>
    </sheetView>
  </sheetViews>
  <sheetFormatPr defaultRowHeight="12.75" x14ac:dyDescent="0.2"/>
  <cols>
    <col min="2" max="2" width="30.85546875" customWidth="1"/>
    <col min="3" max="3" width="12.5703125" bestFit="1" customWidth="1"/>
    <col min="4" max="4" width="2.85546875" customWidth="1"/>
    <col min="5" max="5" width="10.140625" bestFit="1" customWidth="1"/>
    <col min="6" max="6" width="10.140625" customWidth="1"/>
    <col min="7" max="7" width="10.85546875" customWidth="1"/>
    <col min="8" max="9" width="9.42578125" bestFit="1" customWidth="1"/>
    <col min="10" max="10" width="11.85546875" customWidth="1"/>
    <col min="11" max="11" width="10.140625" customWidth="1"/>
    <col min="12" max="12" width="15.140625" customWidth="1"/>
    <col min="13" max="13" width="0" hidden="1" customWidth="1"/>
  </cols>
  <sheetData>
    <row r="1" spans="1:13" x14ac:dyDescent="0.2">
      <c r="A1" s="1"/>
      <c r="B1" s="1" t="s">
        <v>14</v>
      </c>
      <c r="C1" s="2"/>
      <c r="D1" s="3"/>
      <c r="E1" s="2"/>
      <c r="F1" s="2" t="s">
        <v>16</v>
      </c>
      <c r="G1" s="1"/>
      <c r="H1" s="1"/>
      <c r="I1" s="6"/>
      <c r="J1" s="2"/>
    </row>
    <row r="2" spans="1:13" x14ac:dyDescent="0.2">
      <c r="A2" s="1"/>
      <c r="B2" s="1" t="s">
        <v>15</v>
      </c>
      <c r="C2" s="2"/>
      <c r="D2" s="3"/>
      <c r="E2" s="2"/>
      <c r="F2" s="2"/>
      <c r="G2" s="1"/>
      <c r="H2" s="1"/>
      <c r="I2" s="6"/>
      <c r="J2" s="2"/>
    </row>
    <row r="3" spans="1:13" x14ac:dyDescent="0.2">
      <c r="A3" s="1"/>
      <c r="B3" s="1" t="s">
        <v>185</v>
      </c>
      <c r="C3" s="2"/>
      <c r="D3" s="3"/>
      <c r="E3" s="2"/>
      <c r="F3" s="2"/>
      <c r="G3" s="1"/>
      <c r="H3" s="1"/>
      <c r="I3" s="6"/>
      <c r="J3" s="2"/>
    </row>
    <row r="4" spans="1:13" x14ac:dyDescent="0.2">
      <c r="A4" s="1"/>
      <c r="B4" s="16" t="s">
        <v>16</v>
      </c>
      <c r="C4" s="2"/>
      <c r="D4" s="3"/>
      <c r="E4" s="2"/>
      <c r="F4" s="2"/>
      <c r="G4" s="112"/>
      <c r="H4" s="4" t="s">
        <v>108</v>
      </c>
      <c r="I4" s="6"/>
      <c r="J4" s="2"/>
    </row>
    <row r="5" spans="1:13" x14ac:dyDescent="0.2">
      <c r="A5" s="1"/>
      <c r="B5" s="26"/>
      <c r="C5" s="2"/>
      <c r="D5" s="3"/>
      <c r="E5" s="2"/>
      <c r="F5" s="2"/>
      <c r="G5" s="1"/>
      <c r="H5" s="4" t="s">
        <v>16</v>
      </c>
      <c r="I5" s="6"/>
      <c r="J5" s="2"/>
      <c r="M5" t="s">
        <v>93</v>
      </c>
    </row>
    <row r="6" spans="1:13" ht="47.1" customHeight="1" x14ac:dyDescent="0.35">
      <c r="A6" s="7"/>
      <c r="B6" s="7"/>
      <c r="C6" s="8" t="s">
        <v>84</v>
      </c>
      <c r="D6" s="9" t="s">
        <v>16</v>
      </c>
      <c r="E6" s="8" t="s">
        <v>85</v>
      </c>
      <c r="F6" s="8" t="s">
        <v>86</v>
      </c>
      <c r="G6" s="10" t="s">
        <v>109</v>
      </c>
      <c r="H6" s="10" t="s">
        <v>88</v>
      </c>
      <c r="I6" s="11" t="s">
        <v>89</v>
      </c>
      <c r="J6" s="8" t="s">
        <v>90</v>
      </c>
      <c r="K6" s="8" t="s">
        <v>110</v>
      </c>
      <c r="L6" s="8" t="s">
        <v>111</v>
      </c>
    </row>
    <row r="7" spans="1:13" x14ac:dyDescent="0.2">
      <c r="A7" s="173"/>
      <c r="B7" s="1" t="s">
        <v>94</v>
      </c>
      <c r="C7" s="76">
        <v>0</v>
      </c>
      <c r="D7" s="12"/>
      <c r="E7" s="12">
        <v>4510</v>
      </c>
      <c r="F7" s="12">
        <v>41893</v>
      </c>
      <c r="G7" s="13">
        <f>E7/F7</f>
        <v>0.10765521686200559</v>
      </c>
      <c r="H7">
        <v>366</v>
      </c>
      <c r="I7" s="5">
        <f t="shared" ref="I7:I13" si="0">+H7/366</f>
        <v>1</v>
      </c>
      <c r="J7" s="19">
        <f>+C7*G7</f>
        <v>0</v>
      </c>
      <c r="K7" s="94">
        <v>0</v>
      </c>
      <c r="L7" s="20">
        <f t="shared" ref="L7:L12" si="1">+J7-K7</f>
        <v>0</v>
      </c>
      <c r="M7" s="20"/>
    </row>
    <row r="8" spans="1:13" x14ac:dyDescent="0.2">
      <c r="A8" s="173"/>
      <c r="B8" s="1" t="s">
        <v>95</v>
      </c>
      <c r="C8" s="5">
        <f>+L18</f>
        <v>61254.32</v>
      </c>
      <c r="D8" s="12"/>
      <c r="E8" s="12">
        <v>2715</v>
      </c>
      <c r="F8" s="12">
        <v>42113</v>
      </c>
      <c r="G8" s="13">
        <f>E8/F8</f>
        <v>6.4469403747061477E-2</v>
      </c>
      <c r="H8" s="23">
        <v>366</v>
      </c>
      <c r="I8" s="24">
        <f t="shared" si="0"/>
        <v>1</v>
      </c>
      <c r="J8" s="19">
        <f t="shared" ref="J8:J13" si="2">+C8*G8*I8</f>
        <v>3949.0294873317025</v>
      </c>
      <c r="K8" s="94">
        <v>3204</v>
      </c>
      <c r="L8" s="94">
        <f t="shared" si="1"/>
        <v>745.02948733170251</v>
      </c>
      <c r="M8">
        <v>167.23</v>
      </c>
    </row>
    <row r="9" spans="1:13" x14ac:dyDescent="0.2">
      <c r="A9" s="173"/>
      <c r="B9" s="1" t="s">
        <v>112</v>
      </c>
      <c r="C9" s="5">
        <f>+L18</f>
        <v>61254.32</v>
      </c>
      <c r="D9" s="12"/>
      <c r="E9" s="12">
        <v>31385</v>
      </c>
      <c r="F9" s="12">
        <v>42113</v>
      </c>
      <c r="G9" s="13">
        <f>E9/F9</f>
        <v>0.74525680906133496</v>
      </c>
      <c r="H9">
        <v>366</v>
      </c>
      <c r="I9" s="5">
        <f t="shared" si="0"/>
        <v>1</v>
      </c>
      <c r="J9" s="19">
        <f t="shared" si="2"/>
        <v>45650.199064421911</v>
      </c>
      <c r="K9" s="94">
        <v>37044</v>
      </c>
      <c r="L9" s="94">
        <f t="shared" si="1"/>
        <v>8606.1990644219113</v>
      </c>
      <c r="M9">
        <v>1926.91</v>
      </c>
    </row>
    <row r="10" spans="1:13" x14ac:dyDescent="0.2">
      <c r="B10" s="112" t="s">
        <v>113</v>
      </c>
      <c r="C10" s="5">
        <f>+L19</f>
        <v>21056.97</v>
      </c>
      <c r="D10" s="28" t="s">
        <v>16</v>
      </c>
      <c r="E10" s="12">
        <v>5160</v>
      </c>
      <c r="F10" s="12">
        <v>9860</v>
      </c>
      <c r="G10" s="13">
        <f>E10/F10</f>
        <v>0.52332657200811361</v>
      </c>
      <c r="H10">
        <v>366</v>
      </c>
      <c r="I10" s="5">
        <f t="shared" si="0"/>
        <v>1</v>
      </c>
      <c r="J10" s="19">
        <f t="shared" si="2"/>
        <v>11019.67192697769</v>
      </c>
      <c r="K10" s="94">
        <v>0</v>
      </c>
      <c r="L10" s="94">
        <f t="shared" si="1"/>
        <v>11019.67192697769</v>
      </c>
      <c r="M10">
        <v>10371.56</v>
      </c>
    </row>
    <row r="11" spans="1:13" x14ac:dyDescent="0.2">
      <c r="B11" s="1" t="s">
        <v>114</v>
      </c>
      <c r="C11" s="5">
        <f>+L20</f>
        <v>82311.290000000008</v>
      </c>
      <c r="D11" s="12"/>
      <c r="E11" s="12">
        <v>5300</v>
      </c>
      <c r="F11" s="88">
        <v>51973</v>
      </c>
      <c r="G11" s="13">
        <f>E11/F11</f>
        <v>0.10197602601350701</v>
      </c>
      <c r="H11">
        <v>366</v>
      </c>
      <c r="I11" s="5">
        <f t="shared" si="0"/>
        <v>1</v>
      </c>
      <c r="J11" s="19">
        <f t="shared" si="2"/>
        <v>8393.778250245321</v>
      </c>
      <c r="K11" s="94">
        <v>7092</v>
      </c>
      <c r="L11" s="94">
        <f t="shared" si="1"/>
        <v>1301.778250245321</v>
      </c>
      <c r="M11">
        <v>261.54000000000002</v>
      </c>
    </row>
    <row r="12" spans="1:13" x14ac:dyDescent="0.2">
      <c r="B12" s="112" t="s">
        <v>115</v>
      </c>
      <c r="C12" s="5">
        <f>+L21</f>
        <v>6829.17</v>
      </c>
      <c r="D12" s="28" t="s">
        <v>16</v>
      </c>
      <c r="E12" s="12">
        <v>2000</v>
      </c>
      <c r="F12" s="12">
        <v>2000</v>
      </c>
      <c r="G12" s="13">
        <v>1</v>
      </c>
      <c r="H12">
        <v>366</v>
      </c>
      <c r="I12" s="5">
        <f t="shared" si="0"/>
        <v>1</v>
      </c>
      <c r="J12" s="19">
        <f>+C12</f>
        <v>6829.17</v>
      </c>
      <c r="K12" s="20">
        <v>0</v>
      </c>
      <c r="L12" s="20">
        <f t="shared" si="1"/>
        <v>6829.17</v>
      </c>
      <c r="M12">
        <v>6427.48</v>
      </c>
    </row>
    <row r="13" spans="1:13" x14ac:dyDescent="0.2">
      <c r="B13" s="1" t="s">
        <v>29</v>
      </c>
      <c r="C13" s="5">
        <v>0</v>
      </c>
      <c r="D13" s="28" t="s">
        <v>16</v>
      </c>
      <c r="E13" s="71">
        <v>3503</v>
      </c>
      <c r="F13" s="71">
        <v>42113</v>
      </c>
      <c r="G13" s="21">
        <f>E13/F13</f>
        <v>8.3180965497589812E-2</v>
      </c>
      <c r="H13" s="25">
        <v>366</v>
      </c>
      <c r="I13" s="72">
        <f t="shared" si="0"/>
        <v>1</v>
      </c>
      <c r="J13" s="74">
        <f t="shared" si="2"/>
        <v>0</v>
      </c>
      <c r="K13" s="25"/>
      <c r="L13" s="25"/>
    </row>
    <row r="14" spans="1:13" x14ac:dyDescent="0.2">
      <c r="B14" s="1"/>
      <c r="C14" s="5"/>
      <c r="D14" s="28"/>
      <c r="E14" s="12">
        <f>SUM(E7:E13)</f>
        <v>54573</v>
      </c>
      <c r="F14" s="12"/>
      <c r="G14" s="13"/>
      <c r="I14" s="5"/>
      <c r="J14" s="19"/>
    </row>
    <row r="15" spans="1:13" x14ac:dyDescent="0.2">
      <c r="B15" s="14" t="s">
        <v>20</v>
      </c>
      <c r="C15" s="12"/>
      <c r="D15" s="12"/>
      <c r="E15" s="12">
        <v>53973</v>
      </c>
      <c r="F15" s="12"/>
      <c r="G15" s="78" t="s">
        <v>16</v>
      </c>
      <c r="J15" s="20">
        <f>SUM(J7:J13)</f>
        <v>75841.84872897662</v>
      </c>
      <c r="K15" s="20">
        <f>SUM(K7:K13)</f>
        <v>47340</v>
      </c>
      <c r="L15" s="20">
        <f>SUM(L7:L13)</f>
        <v>28501.84872897662</v>
      </c>
      <c r="M15" s="20">
        <f>SUM(M7:M13)</f>
        <v>19154.72</v>
      </c>
    </row>
    <row r="16" spans="1:13" ht="13.5" thickBot="1" x14ac:dyDescent="0.25">
      <c r="E16" s="111" t="s">
        <v>16</v>
      </c>
    </row>
    <row r="17" spans="1:12" x14ac:dyDescent="0.2">
      <c r="B17" s="202" t="s">
        <v>116</v>
      </c>
      <c r="C17" s="202"/>
      <c r="D17" s="202"/>
      <c r="E17" s="202"/>
      <c r="F17" s="202"/>
      <c r="J17" s="102" t="s">
        <v>186</v>
      </c>
      <c r="K17" s="103"/>
      <c r="L17" s="104"/>
    </row>
    <row r="18" spans="1:12" x14ac:dyDescent="0.2">
      <c r="B18" s="4">
        <f>6800.41-5645</f>
        <v>1155.4099999999999</v>
      </c>
      <c r="C18" s="12"/>
      <c r="D18" s="12"/>
      <c r="E18" s="12"/>
      <c r="J18" s="105" t="s">
        <v>117</v>
      </c>
      <c r="L18" s="106">
        <v>61254.32</v>
      </c>
    </row>
    <row r="19" spans="1:12" x14ac:dyDescent="0.2">
      <c r="B19" s="4" t="s">
        <v>118</v>
      </c>
      <c r="C19" s="12"/>
      <c r="D19" s="12"/>
      <c r="E19" s="12"/>
      <c r="J19" s="105" t="s">
        <v>119</v>
      </c>
      <c r="L19" s="107">
        <v>21056.97</v>
      </c>
    </row>
    <row r="20" spans="1:12" x14ac:dyDescent="0.2">
      <c r="J20" s="105" t="s">
        <v>16</v>
      </c>
      <c r="L20" s="106">
        <f>SUM(L18:L19)</f>
        <v>82311.290000000008</v>
      </c>
    </row>
    <row r="21" spans="1:12" x14ac:dyDescent="0.2">
      <c r="B21" s="4" t="s">
        <v>120</v>
      </c>
      <c r="J21" s="105" t="s">
        <v>33</v>
      </c>
      <c r="L21" s="107">
        <v>6829.17</v>
      </c>
    </row>
    <row r="22" spans="1:12" ht="13.5" thickBot="1" x14ac:dyDescent="0.25">
      <c r="J22" s="108"/>
      <c r="K22" s="109"/>
      <c r="L22" s="110">
        <f>SUM(L20:L21)</f>
        <v>89140.46</v>
      </c>
    </row>
    <row r="23" spans="1:12" x14ac:dyDescent="0.2">
      <c r="B23" s="4" t="s">
        <v>121</v>
      </c>
      <c r="L23" s="20"/>
    </row>
    <row r="24" spans="1:12" x14ac:dyDescent="0.2">
      <c r="B24" s="91" t="s">
        <v>122</v>
      </c>
      <c r="C24" s="89"/>
      <c r="D24" s="89"/>
      <c r="E24" s="89"/>
      <c r="F24" s="89"/>
      <c r="G24" s="89"/>
      <c r="H24" s="89"/>
      <c r="I24" s="89"/>
      <c r="J24" s="89"/>
    </row>
    <row r="26" spans="1:12" x14ac:dyDescent="0.2">
      <c r="B26" s="4" t="s">
        <v>123</v>
      </c>
    </row>
    <row r="28" spans="1:12" x14ac:dyDescent="0.2">
      <c r="A28" s="176"/>
    </row>
  </sheetData>
  <mergeCells count="1">
    <mergeCell ref="B17:F17"/>
  </mergeCells>
  <phoneticPr fontId="4" type="noConversion"/>
  <pageMargins left="0.75" right="0.75" top="1" bottom="1" header="0.5" footer="0.5"/>
  <pageSetup scale="87" orientation="landscape" r:id="rId1"/>
  <headerFooter alignWithMargins="0"/>
  <ignoredErrors>
    <ignoredError sqref="J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3"/>
  <sheetViews>
    <sheetView topLeftCell="B1" workbookViewId="0">
      <selection activeCell="N16" sqref="N16"/>
    </sheetView>
  </sheetViews>
  <sheetFormatPr defaultRowHeight="12.75" x14ac:dyDescent="0.2"/>
  <cols>
    <col min="2" max="2" width="30.85546875" customWidth="1"/>
    <col min="3" max="3" width="10.42578125" bestFit="1" customWidth="1"/>
    <col min="4" max="4" width="2.85546875" customWidth="1"/>
    <col min="6" max="6" width="10.85546875" customWidth="1"/>
    <col min="9" max="9" width="10.85546875" customWidth="1"/>
    <col min="10" max="10" width="10.140625" customWidth="1"/>
    <col min="11" max="11" width="11" customWidth="1"/>
    <col min="12" max="12" width="10.140625" customWidth="1"/>
  </cols>
  <sheetData>
    <row r="1" spans="1:12" x14ac:dyDescent="0.2">
      <c r="A1" s="1"/>
      <c r="B1" s="1" t="s">
        <v>14</v>
      </c>
      <c r="C1" s="2"/>
      <c r="D1" s="3"/>
      <c r="E1" s="2"/>
      <c r="F1" s="1"/>
      <c r="G1" s="1"/>
      <c r="H1" s="6"/>
      <c r="I1" s="2"/>
      <c r="J1" s="1"/>
      <c r="K1" s="1"/>
      <c r="L1" s="1"/>
    </row>
    <row r="2" spans="1:12" x14ac:dyDescent="0.2">
      <c r="A2" s="1"/>
      <c r="B2" s="1" t="s">
        <v>15</v>
      </c>
      <c r="C2" s="2"/>
      <c r="D2" s="3"/>
      <c r="E2" s="2"/>
      <c r="F2" s="1"/>
      <c r="G2" s="1"/>
      <c r="H2" s="6"/>
      <c r="I2" s="2"/>
      <c r="J2" s="1"/>
      <c r="K2" s="1"/>
      <c r="L2" s="1"/>
    </row>
    <row r="3" spans="1:12" x14ac:dyDescent="0.2">
      <c r="A3" s="1"/>
      <c r="B3" s="1" t="s">
        <v>187</v>
      </c>
      <c r="C3" s="2"/>
      <c r="D3" s="3"/>
      <c r="E3" s="28" t="s">
        <v>16</v>
      </c>
      <c r="F3" s="1"/>
      <c r="G3" s="1"/>
      <c r="H3" s="6"/>
      <c r="I3" s="2"/>
      <c r="J3" s="1"/>
      <c r="K3" s="1"/>
      <c r="L3" s="1"/>
    </row>
    <row r="4" spans="1:12" x14ac:dyDescent="0.2">
      <c r="A4" s="1"/>
      <c r="B4" s="79" t="s">
        <v>16</v>
      </c>
      <c r="C4" s="2"/>
      <c r="D4" s="3"/>
      <c r="E4" s="28"/>
      <c r="F4" s="29"/>
      <c r="G4" s="4" t="s">
        <v>108</v>
      </c>
      <c r="H4" s="6"/>
      <c r="I4" s="2"/>
      <c r="J4" s="1"/>
      <c r="K4" s="1"/>
      <c r="L4" s="1"/>
    </row>
    <row r="5" spans="1:12" x14ac:dyDescent="0.2">
      <c r="A5" s="1"/>
      <c r="B5" s="176"/>
      <c r="C5" s="2"/>
      <c r="D5" s="3"/>
      <c r="E5" s="28"/>
      <c r="F5" s="1"/>
      <c r="G5" s="1"/>
      <c r="H5" s="6"/>
      <c r="I5" s="2"/>
      <c r="J5" s="1"/>
      <c r="K5" s="1"/>
      <c r="L5" s="1"/>
    </row>
    <row r="6" spans="1:12" x14ac:dyDescent="0.2">
      <c r="A6" s="1"/>
      <c r="B6" s="1"/>
      <c r="C6" s="2"/>
      <c r="D6" s="3"/>
      <c r="E6" s="28"/>
      <c r="F6" s="1"/>
      <c r="G6" s="1"/>
      <c r="H6" s="6"/>
      <c r="I6" s="2"/>
      <c r="J6" s="1"/>
      <c r="K6" s="1"/>
      <c r="L6" s="1"/>
    </row>
    <row r="7" spans="1:12" ht="47.1" customHeight="1" x14ac:dyDescent="0.35">
      <c r="A7" s="7"/>
      <c r="B7" s="7" t="s">
        <v>16</v>
      </c>
      <c r="C7" s="8" t="s">
        <v>84</v>
      </c>
      <c r="D7" s="9" t="s">
        <v>16</v>
      </c>
      <c r="E7" s="8" t="s">
        <v>85</v>
      </c>
      <c r="F7" s="8" t="s">
        <v>124</v>
      </c>
      <c r="G7" s="10" t="s">
        <v>87</v>
      </c>
      <c r="H7" s="10" t="s">
        <v>88</v>
      </c>
      <c r="I7" s="11" t="s">
        <v>89</v>
      </c>
      <c r="J7" s="8" t="s">
        <v>90</v>
      </c>
      <c r="K7" s="8" t="s">
        <v>125</v>
      </c>
      <c r="L7" s="8" t="s">
        <v>92</v>
      </c>
    </row>
    <row r="8" spans="1:12" x14ac:dyDescent="0.2">
      <c r="B8" s="1" t="s">
        <v>94</v>
      </c>
      <c r="C8" s="85" t="s">
        <v>126</v>
      </c>
      <c r="D8" s="28" t="s">
        <v>16</v>
      </c>
      <c r="E8" s="12">
        <v>4510</v>
      </c>
      <c r="F8" s="12">
        <v>41893</v>
      </c>
      <c r="G8" s="13">
        <f>E8/F8</f>
        <v>0.10765521686200559</v>
      </c>
      <c r="H8">
        <v>366</v>
      </c>
      <c r="I8" s="5">
        <f t="shared" ref="I8:I14" si="0">+H8/366</f>
        <v>1</v>
      </c>
      <c r="J8" s="19">
        <v>0</v>
      </c>
      <c r="K8" s="19">
        <v>0</v>
      </c>
      <c r="L8" s="18">
        <f t="shared" ref="L8:L14" si="1">+J8-K8</f>
        <v>0</v>
      </c>
    </row>
    <row r="9" spans="1:12" x14ac:dyDescent="0.2">
      <c r="A9" t="s">
        <v>16</v>
      </c>
      <c r="B9" s="22" t="s">
        <v>95</v>
      </c>
      <c r="C9" s="85">
        <f>26262.24*42113/53973</f>
        <v>20491.38852982047</v>
      </c>
      <c r="D9" s="12"/>
      <c r="E9" s="12">
        <v>2715</v>
      </c>
      <c r="F9" s="12">
        <v>42113</v>
      </c>
      <c r="G9" s="13">
        <f>E9/F9</f>
        <v>6.4469403747061477E-2</v>
      </c>
      <c r="H9" s="23">
        <v>366</v>
      </c>
      <c r="I9" s="24">
        <f t="shared" si="0"/>
        <v>1</v>
      </c>
      <c r="J9" s="19">
        <f t="shared" ref="J9:J14" si="2">+C9*G9*I9</f>
        <v>1321.0676004669003</v>
      </c>
      <c r="K9" s="19">
        <v>1620</v>
      </c>
      <c r="L9" s="93">
        <f t="shared" si="1"/>
        <v>-298.93239953309967</v>
      </c>
    </row>
    <row r="10" spans="1:12" x14ac:dyDescent="0.2">
      <c r="B10" s="1" t="s">
        <v>112</v>
      </c>
      <c r="C10" s="85">
        <f>26262.24*42113/53973</f>
        <v>20491.38852982047</v>
      </c>
      <c r="D10" s="12"/>
      <c r="E10" s="12">
        <v>31385</v>
      </c>
      <c r="F10" s="12">
        <v>42113</v>
      </c>
      <c r="G10" s="13">
        <f>E10/F10</f>
        <v>0.74525680906133496</v>
      </c>
      <c r="H10">
        <v>366</v>
      </c>
      <c r="I10" s="5">
        <f t="shared" si="0"/>
        <v>1</v>
      </c>
      <c r="J10" s="19">
        <f t="shared" si="2"/>
        <v>15271.346828970043</v>
      </c>
      <c r="K10" s="19">
        <v>18660</v>
      </c>
      <c r="L10" s="93">
        <f t="shared" si="1"/>
        <v>-3388.6531710299569</v>
      </c>
    </row>
    <row r="11" spans="1:12" x14ac:dyDescent="0.2">
      <c r="B11" s="80" t="s">
        <v>113</v>
      </c>
      <c r="C11" s="85">
        <v>26262.240000000002</v>
      </c>
      <c r="D11" s="28" t="s">
        <v>16</v>
      </c>
      <c r="E11" s="12">
        <v>5160</v>
      </c>
      <c r="F11" s="12">
        <v>53973</v>
      </c>
      <c r="G11" s="13">
        <f>E11/F11</f>
        <v>9.560335723417264E-2</v>
      </c>
      <c r="H11">
        <v>366</v>
      </c>
      <c r="I11" s="5">
        <f t="shared" si="0"/>
        <v>1</v>
      </c>
      <c r="J11" s="19">
        <f t="shared" si="2"/>
        <v>2510.7583124895782</v>
      </c>
      <c r="K11" s="19">
        <v>0</v>
      </c>
      <c r="L11" s="93">
        <f t="shared" si="1"/>
        <v>2510.7583124895782</v>
      </c>
    </row>
    <row r="12" spans="1:12" x14ac:dyDescent="0.2">
      <c r="B12" s="1" t="s">
        <v>114</v>
      </c>
      <c r="C12" s="85">
        <v>26262.240000000002</v>
      </c>
      <c r="D12" s="12"/>
      <c r="E12" s="12">
        <v>5300</v>
      </c>
      <c r="F12" s="12">
        <v>53973</v>
      </c>
      <c r="G12" s="13">
        <f>E12/F12</f>
        <v>9.8197246771533922E-2</v>
      </c>
      <c r="H12">
        <v>366</v>
      </c>
      <c r="I12" s="5">
        <f t="shared" si="0"/>
        <v>1</v>
      </c>
      <c r="J12" s="19">
        <f t="shared" si="2"/>
        <v>2578.8796620532494</v>
      </c>
      <c r="K12" s="19">
        <v>3156</v>
      </c>
      <c r="L12" s="93">
        <f t="shared" si="1"/>
        <v>-577.12033794675062</v>
      </c>
    </row>
    <row r="13" spans="1:12" x14ac:dyDescent="0.2">
      <c r="B13" s="80" t="s">
        <v>115</v>
      </c>
      <c r="C13" s="85">
        <f>26262.24*3.71%</f>
        <v>974.32910400000014</v>
      </c>
      <c r="D13" s="28" t="s">
        <v>16</v>
      </c>
      <c r="E13" s="12">
        <v>2000</v>
      </c>
      <c r="F13" s="12">
        <v>53973</v>
      </c>
      <c r="G13" s="13">
        <v>1</v>
      </c>
      <c r="H13">
        <v>366</v>
      </c>
      <c r="I13" s="5">
        <f t="shared" si="0"/>
        <v>1</v>
      </c>
      <c r="J13" s="19">
        <f t="shared" si="2"/>
        <v>974.32910400000014</v>
      </c>
      <c r="K13" s="19">
        <v>0</v>
      </c>
      <c r="L13" s="93">
        <f t="shared" si="1"/>
        <v>974.32910400000014</v>
      </c>
    </row>
    <row r="14" spans="1:12" x14ac:dyDescent="0.2">
      <c r="B14" s="1" t="s">
        <v>29</v>
      </c>
      <c r="C14" s="5">
        <v>0</v>
      </c>
      <c r="D14" s="28" t="s">
        <v>16</v>
      </c>
      <c r="E14" s="71">
        <v>3503</v>
      </c>
      <c r="F14" s="71">
        <v>42113</v>
      </c>
      <c r="G14" s="21">
        <f>E14/F14</f>
        <v>8.3180965497589812E-2</v>
      </c>
      <c r="H14" s="25">
        <v>366</v>
      </c>
      <c r="I14" s="72">
        <f t="shared" si="0"/>
        <v>1</v>
      </c>
      <c r="J14" s="74">
        <f t="shared" si="2"/>
        <v>0</v>
      </c>
      <c r="K14" s="74">
        <v>0</v>
      </c>
      <c r="L14" s="113">
        <f t="shared" si="1"/>
        <v>0</v>
      </c>
    </row>
    <row r="15" spans="1:12" x14ac:dyDescent="0.2">
      <c r="B15" s="1"/>
      <c r="C15" s="5"/>
      <c r="D15" s="28"/>
      <c r="E15" s="12">
        <f>SUM(E8:E14)</f>
        <v>54573</v>
      </c>
      <c r="F15" s="12"/>
      <c r="G15" s="13"/>
      <c r="I15" s="5"/>
      <c r="J15" s="19"/>
      <c r="K15" s="19"/>
      <c r="L15" s="18"/>
    </row>
    <row r="16" spans="1:12" x14ac:dyDescent="0.2">
      <c r="B16" s="1" t="s">
        <v>20</v>
      </c>
      <c r="C16" s="12"/>
      <c r="D16" s="12"/>
      <c r="E16" s="12">
        <v>53973</v>
      </c>
      <c r="F16" s="12"/>
      <c r="G16" s="12"/>
      <c r="J16" s="20">
        <f>SUM(J8:J14)</f>
        <v>22656.381507979771</v>
      </c>
      <c r="K16" s="20">
        <f>SUM(K8:K14)</f>
        <v>23436</v>
      </c>
      <c r="L16" s="114">
        <f>SUM(L8:L14)</f>
        <v>-779.61849202022881</v>
      </c>
    </row>
    <row r="17" spans="1:12" x14ac:dyDescent="0.2">
      <c r="L17" s="114"/>
    </row>
    <row r="18" spans="1:12" x14ac:dyDescent="0.2">
      <c r="B18" s="202" t="s">
        <v>127</v>
      </c>
      <c r="C18" s="202"/>
      <c r="D18" s="202"/>
      <c r="E18" s="202"/>
      <c r="F18" s="202"/>
    </row>
    <row r="19" spans="1:12" x14ac:dyDescent="0.2">
      <c r="A19" s="14" t="s">
        <v>16</v>
      </c>
      <c r="B19" s="4" t="s">
        <v>16</v>
      </c>
      <c r="C19" s="12"/>
      <c r="D19" s="12"/>
      <c r="E19" s="12"/>
    </row>
    <row r="20" spans="1:12" x14ac:dyDescent="0.2">
      <c r="B20" s="4" t="s">
        <v>128</v>
      </c>
      <c r="C20" s="12"/>
      <c r="D20" s="12"/>
      <c r="E20" s="12"/>
    </row>
    <row r="21" spans="1:12" x14ac:dyDescent="0.2">
      <c r="A21" s="14" t="s">
        <v>16</v>
      </c>
    </row>
    <row r="22" spans="1:12" x14ac:dyDescent="0.2">
      <c r="A22" s="191" t="s">
        <v>129</v>
      </c>
    </row>
    <row r="24" spans="1:12" x14ac:dyDescent="0.2">
      <c r="A24" s="4" t="s">
        <v>130</v>
      </c>
      <c r="B24" s="28"/>
      <c r="C24" s="28"/>
      <c r="D24" s="28"/>
      <c r="E24" s="28"/>
      <c r="F24" s="4"/>
      <c r="G24" s="4"/>
      <c r="H24" s="76"/>
      <c r="I24" s="28"/>
      <c r="J24" s="4"/>
      <c r="K24" s="4"/>
      <c r="L24" s="4"/>
    </row>
    <row r="26" spans="1:12" x14ac:dyDescent="0.2">
      <c r="B26" s="4" t="s">
        <v>131</v>
      </c>
    </row>
    <row r="33" spans="3:3" x14ac:dyDescent="0.2">
      <c r="C33">
        <v>28242</v>
      </c>
    </row>
  </sheetData>
  <mergeCells count="1">
    <mergeCell ref="B18:F18"/>
  </mergeCells>
  <phoneticPr fontId="4" type="noConversion"/>
  <pageMargins left="0.75" right="0.75" top="1" bottom="1" header="0.5" footer="0.5"/>
  <pageSetup scale="82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59"/>
  <sheetViews>
    <sheetView topLeftCell="A31" workbookViewId="0">
      <selection activeCell="I12" sqref="I12"/>
    </sheetView>
  </sheetViews>
  <sheetFormatPr defaultRowHeight="12.75" x14ac:dyDescent="0.2"/>
  <cols>
    <col min="1" max="1" width="38.42578125" customWidth="1"/>
    <col min="2" max="2" width="35" customWidth="1"/>
    <col min="3" max="3" width="29.140625" customWidth="1"/>
    <col min="4" max="4" width="16.140625" customWidth="1"/>
    <col min="5" max="5" width="23.42578125" customWidth="1"/>
  </cols>
  <sheetData>
    <row r="2" spans="1:5" ht="18" x14ac:dyDescent="0.25">
      <c r="A2" s="203" t="s">
        <v>132</v>
      </c>
      <c r="B2" s="203"/>
      <c r="C2" s="203"/>
      <c r="D2" s="203"/>
      <c r="E2" s="203"/>
    </row>
    <row r="3" spans="1:5" ht="15" x14ac:dyDescent="0.2">
      <c r="A3" s="204" t="s">
        <v>133</v>
      </c>
      <c r="B3" s="204"/>
      <c r="C3" s="204"/>
      <c r="D3" s="204"/>
      <c r="E3" s="204"/>
    </row>
    <row r="4" spans="1:5" ht="15" x14ac:dyDescent="0.2">
      <c r="A4" s="192"/>
      <c r="B4" s="192"/>
      <c r="C4" s="192"/>
      <c r="D4" s="192"/>
      <c r="E4" s="192"/>
    </row>
    <row r="5" spans="1:5" x14ac:dyDescent="0.2">
      <c r="A5" s="117" t="s">
        <v>134</v>
      </c>
      <c r="B5" s="118" t="s">
        <v>135</v>
      </c>
      <c r="C5" s="119" t="s">
        <v>136</v>
      </c>
      <c r="D5" s="120">
        <v>40145</v>
      </c>
      <c r="E5" s="121"/>
    </row>
    <row r="6" spans="1:5" x14ac:dyDescent="0.2">
      <c r="A6" s="117" t="s">
        <v>137</v>
      </c>
      <c r="B6" s="118">
        <v>1232</v>
      </c>
      <c r="C6" s="122" t="s">
        <v>138</v>
      </c>
      <c r="D6" s="120" t="s">
        <v>139</v>
      </c>
      <c r="E6" s="121"/>
    </row>
    <row r="7" spans="1:5" ht="18.75" thickBot="1" x14ac:dyDescent="0.3">
      <c r="A7" s="123"/>
      <c r="B7" s="124"/>
      <c r="C7" s="124"/>
      <c r="D7" s="124"/>
      <c r="E7" s="121"/>
    </row>
    <row r="8" spans="1:5" x14ac:dyDescent="0.2">
      <c r="A8" s="125" t="s">
        <v>140</v>
      </c>
      <c r="B8" s="126">
        <v>0.1</v>
      </c>
      <c r="C8" s="124"/>
      <c r="D8" s="124"/>
      <c r="E8" s="121"/>
    </row>
    <row r="9" spans="1:5" x14ac:dyDescent="0.2">
      <c r="A9" s="127" t="s">
        <v>141</v>
      </c>
      <c r="B9" s="128">
        <v>0</v>
      </c>
      <c r="C9" s="124"/>
      <c r="D9" s="124"/>
      <c r="E9" s="121"/>
    </row>
    <row r="10" spans="1:5" x14ac:dyDescent="0.2">
      <c r="A10" s="127" t="s">
        <v>142</v>
      </c>
      <c r="B10" s="129">
        <v>2715</v>
      </c>
      <c r="C10" s="124"/>
      <c r="D10" s="124"/>
      <c r="E10" s="121"/>
    </row>
    <row r="11" spans="1:5" x14ac:dyDescent="0.2">
      <c r="A11" s="127" t="s">
        <v>143</v>
      </c>
      <c r="B11" s="129">
        <v>42113</v>
      </c>
      <c r="C11" s="121"/>
      <c r="D11" s="121"/>
      <c r="E11" s="121"/>
    </row>
    <row r="12" spans="1:5" ht="13.5" thickBot="1" x14ac:dyDescent="0.25">
      <c r="A12" s="127" t="s">
        <v>144</v>
      </c>
      <c r="B12" s="130">
        <f>B10/B11</f>
        <v>6.4469403747061477E-2</v>
      </c>
      <c r="C12" s="131"/>
      <c r="D12" s="132" t="s">
        <v>145</v>
      </c>
      <c r="E12" s="132" t="s">
        <v>145</v>
      </c>
    </row>
    <row r="13" spans="1:5" x14ac:dyDescent="0.2">
      <c r="A13" s="127" t="s">
        <v>146</v>
      </c>
      <c r="B13" s="129">
        <v>365</v>
      </c>
      <c r="C13" s="133" t="s">
        <v>147</v>
      </c>
      <c r="D13" s="134" t="s">
        <v>148</v>
      </c>
      <c r="E13" s="135" t="s">
        <v>149</v>
      </c>
    </row>
    <row r="14" spans="1:5" x14ac:dyDescent="0.2">
      <c r="A14" s="127" t="s">
        <v>150</v>
      </c>
      <c r="B14" s="129">
        <v>365</v>
      </c>
      <c r="C14" s="136" t="s">
        <v>151</v>
      </c>
      <c r="D14" s="121">
        <v>61216</v>
      </c>
      <c r="E14" s="137">
        <f>D14*B12</f>
        <v>3946.5590197801152</v>
      </c>
    </row>
    <row r="15" spans="1:5" x14ac:dyDescent="0.2">
      <c r="A15" s="127" t="s">
        <v>152</v>
      </c>
      <c r="B15" s="130">
        <f>B13/B14</f>
        <v>1</v>
      </c>
      <c r="C15" s="136" t="s">
        <v>153</v>
      </c>
      <c r="D15" s="138">
        <f>100%+$B$7</f>
        <v>1</v>
      </c>
      <c r="E15" s="139"/>
    </row>
    <row r="16" spans="1:5" ht="13.5" thickBot="1" x14ac:dyDescent="0.25">
      <c r="A16" s="127" t="s">
        <v>154</v>
      </c>
      <c r="B16" s="129" t="s">
        <v>155</v>
      </c>
      <c r="C16" s="140" t="s">
        <v>156</v>
      </c>
      <c r="D16" s="141">
        <f>D14*D15</f>
        <v>61216</v>
      </c>
      <c r="E16" s="142">
        <f>+E14*110%</f>
        <v>4341.2149217581273</v>
      </c>
    </row>
    <row r="17" spans="1:5" ht="13.5" thickBot="1" x14ac:dyDescent="0.25">
      <c r="A17" s="143" t="s">
        <v>157</v>
      </c>
      <c r="B17" s="144" t="s">
        <v>61</v>
      </c>
      <c r="C17" s="131"/>
      <c r="D17" s="132"/>
      <c r="E17" s="121">
        <v>2016</v>
      </c>
    </row>
    <row r="18" spans="1:5" x14ac:dyDescent="0.2">
      <c r="A18" s="131" t="s">
        <v>158</v>
      </c>
      <c r="B18" s="145"/>
      <c r="C18" s="131"/>
      <c r="D18" s="146"/>
      <c r="E18" s="121"/>
    </row>
    <row r="19" spans="1:5" x14ac:dyDescent="0.2">
      <c r="A19" s="131"/>
      <c r="B19" s="145"/>
      <c r="C19" s="131"/>
      <c r="D19" s="146"/>
      <c r="E19" s="121"/>
    </row>
    <row r="20" spans="1:5" x14ac:dyDescent="0.2">
      <c r="A20" s="131"/>
      <c r="B20" s="145"/>
      <c r="C20" s="124"/>
      <c r="D20" s="124"/>
      <c r="E20" s="147"/>
    </row>
    <row r="21" spans="1:5" x14ac:dyDescent="0.2">
      <c r="A21" s="121"/>
      <c r="B21" s="124"/>
      <c r="C21" s="124"/>
      <c r="D21" s="124"/>
      <c r="E21" s="121"/>
    </row>
    <row r="22" spans="1:5" x14ac:dyDescent="0.2">
      <c r="A22" s="117" t="s">
        <v>159</v>
      </c>
      <c r="B22" s="148">
        <v>2015</v>
      </c>
      <c r="C22" s="148">
        <v>2016</v>
      </c>
      <c r="D22" s="149" t="s">
        <v>160</v>
      </c>
      <c r="E22" s="117" t="s">
        <v>161</v>
      </c>
    </row>
    <row r="23" spans="1:5" x14ac:dyDescent="0.2">
      <c r="A23" s="121" t="s">
        <v>45</v>
      </c>
      <c r="B23" s="124">
        <v>2353.5</v>
      </c>
      <c r="C23" s="124">
        <v>2982</v>
      </c>
      <c r="D23" s="138">
        <f t="shared" ref="D23:D32" si="0">(C23-B23)/B23</f>
        <v>0.26704907584448695</v>
      </c>
      <c r="E23" s="124">
        <f>+C23*$B$12</f>
        <v>192.24776197373731</v>
      </c>
    </row>
    <row r="24" spans="1:5" x14ac:dyDescent="0.2">
      <c r="A24" s="121" t="s">
        <v>47</v>
      </c>
      <c r="B24" s="124">
        <v>10750</v>
      </c>
      <c r="C24" s="124">
        <v>8185</v>
      </c>
      <c r="D24" s="138">
        <f t="shared" si="0"/>
        <v>-0.2386046511627907</v>
      </c>
      <c r="E24" s="124">
        <f t="shared" ref="E24:E32" si="1">+C24*$B$12</f>
        <v>527.68206966969819</v>
      </c>
    </row>
    <row r="25" spans="1:5" x14ac:dyDescent="0.2">
      <c r="A25" s="121" t="s">
        <v>162</v>
      </c>
      <c r="B25" s="124">
        <v>14262</v>
      </c>
      <c r="C25" s="124">
        <v>12556</v>
      </c>
      <c r="D25" s="138">
        <f t="shared" si="0"/>
        <v>-0.11961856682092273</v>
      </c>
      <c r="E25" s="124">
        <f t="shared" si="1"/>
        <v>809.47783344810387</v>
      </c>
    </row>
    <row r="26" spans="1:5" x14ac:dyDescent="0.2">
      <c r="A26" s="121" t="s">
        <v>163</v>
      </c>
      <c r="B26" s="124">
        <v>1934.6</v>
      </c>
      <c r="C26" s="124">
        <v>3759</v>
      </c>
      <c r="D26" s="138">
        <f t="shared" si="0"/>
        <v>0.94303732037630528</v>
      </c>
      <c r="E26" s="124">
        <f t="shared" si="1"/>
        <v>242.34048868520409</v>
      </c>
    </row>
    <row r="27" spans="1:5" x14ac:dyDescent="0.2">
      <c r="A27" s="121" t="s">
        <v>164</v>
      </c>
      <c r="B27" s="124">
        <v>3880</v>
      </c>
      <c r="C27" s="124">
        <v>2371</v>
      </c>
      <c r="D27" s="138">
        <f t="shared" si="0"/>
        <v>-0.38891752577319588</v>
      </c>
      <c r="E27" s="124">
        <f t="shared" si="1"/>
        <v>152.85695628428277</v>
      </c>
    </row>
    <row r="28" spans="1:5" x14ac:dyDescent="0.2">
      <c r="A28" s="121" t="s">
        <v>55</v>
      </c>
      <c r="B28" s="124">
        <v>1355.28</v>
      </c>
      <c r="C28" s="124">
        <v>0</v>
      </c>
      <c r="D28" s="138">
        <f t="shared" si="0"/>
        <v>-1</v>
      </c>
      <c r="E28" s="124">
        <f t="shared" si="1"/>
        <v>0</v>
      </c>
    </row>
    <row r="29" spans="1:5" x14ac:dyDescent="0.2">
      <c r="A29" s="121" t="s">
        <v>9</v>
      </c>
      <c r="B29" s="124">
        <v>2100</v>
      </c>
      <c r="C29" s="124">
        <v>2520</v>
      </c>
      <c r="D29" s="138">
        <f t="shared" si="0"/>
        <v>0.2</v>
      </c>
      <c r="E29" s="124">
        <f t="shared" si="1"/>
        <v>162.46289744259491</v>
      </c>
    </row>
    <row r="30" spans="1:5" x14ac:dyDescent="0.2">
      <c r="A30" s="121" t="s">
        <v>59</v>
      </c>
      <c r="B30" s="124">
        <v>0</v>
      </c>
      <c r="C30" s="124">
        <v>0</v>
      </c>
      <c r="D30" s="138" t="e">
        <f t="shared" si="0"/>
        <v>#DIV/0!</v>
      </c>
      <c r="E30" s="124">
        <f t="shared" si="1"/>
        <v>0</v>
      </c>
    </row>
    <row r="31" spans="1:5" x14ac:dyDescent="0.2">
      <c r="A31" s="121" t="s">
        <v>165</v>
      </c>
      <c r="B31" s="124">
        <v>951</v>
      </c>
      <c r="C31" s="124">
        <v>0</v>
      </c>
      <c r="D31" s="138">
        <f t="shared" si="0"/>
        <v>-1</v>
      </c>
      <c r="E31" s="124">
        <f t="shared" si="1"/>
        <v>0</v>
      </c>
    </row>
    <row r="32" spans="1:5" ht="13.5" thickBot="1" x14ac:dyDescent="0.25">
      <c r="A32" s="121" t="s">
        <v>166</v>
      </c>
      <c r="B32" s="124">
        <v>28329.66</v>
      </c>
      <c r="C32" s="124">
        <v>26400</v>
      </c>
      <c r="D32" s="138">
        <f t="shared" si="0"/>
        <v>-6.811447790054663E-2</v>
      </c>
      <c r="E32" s="124">
        <f t="shared" si="1"/>
        <v>1701.9922589224229</v>
      </c>
    </row>
    <row r="33" spans="1:5" ht="13.5" thickTop="1" x14ac:dyDescent="0.2">
      <c r="A33" s="150" t="s">
        <v>167</v>
      </c>
      <c r="B33" s="151">
        <f>SUM(B23:B32)</f>
        <v>65916.039999999994</v>
      </c>
      <c r="C33" s="151">
        <f>SUM(C23:C32)</f>
        <v>58773</v>
      </c>
      <c r="D33" s="152"/>
      <c r="E33" s="151">
        <f>SUM(E23:E32)</f>
        <v>3789.0602664260441</v>
      </c>
    </row>
    <row r="34" spans="1:5" x14ac:dyDescent="0.2">
      <c r="A34" s="153" t="s">
        <v>168</v>
      </c>
      <c r="B34" s="124">
        <v>0</v>
      </c>
      <c r="C34" s="124">
        <v>0</v>
      </c>
      <c r="D34" s="138"/>
      <c r="E34" s="124">
        <v>0</v>
      </c>
    </row>
    <row r="35" spans="1:5" x14ac:dyDescent="0.2">
      <c r="A35" s="154" t="s">
        <v>169</v>
      </c>
      <c r="B35" s="124">
        <f>SUM(B33:B34)</f>
        <v>65916.039999999994</v>
      </c>
      <c r="C35" s="124">
        <f>SUM(C33:C34)</f>
        <v>58773</v>
      </c>
      <c r="D35" s="155">
        <f>(C35-B35)/B35</f>
        <v>-0.10836573313566765</v>
      </c>
      <c r="E35" s="124">
        <f>SUM(E33:E34)</f>
        <v>3789.0602664260441</v>
      </c>
    </row>
    <row r="36" spans="1:5" x14ac:dyDescent="0.2">
      <c r="A36" s="121"/>
      <c r="B36" s="154" t="s">
        <v>170</v>
      </c>
      <c r="C36" s="124">
        <f>D16</f>
        <v>61216</v>
      </c>
      <c r="D36" s="155"/>
      <c r="E36" s="124">
        <f>E16</f>
        <v>4341.2149217581273</v>
      </c>
    </row>
    <row r="37" spans="1:5" x14ac:dyDescent="0.2">
      <c r="A37" s="121"/>
      <c r="B37" s="154" t="s">
        <v>171</v>
      </c>
      <c r="C37" s="124" t="b">
        <f>IF(C36&lt;C35,C36&lt;C35)</f>
        <v>0</v>
      </c>
      <c r="D37" s="155"/>
      <c r="E37" s="124" t="b">
        <f>IF(E36&lt;E35,E36&lt;E35)</f>
        <v>0</v>
      </c>
    </row>
    <row r="38" spans="1:5" x14ac:dyDescent="0.2">
      <c r="A38" s="154"/>
      <c r="B38" s="124"/>
      <c r="C38" s="124"/>
      <c r="D38" s="155"/>
      <c r="E38" s="124"/>
    </row>
    <row r="39" spans="1:5" x14ac:dyDescent="0.2">
      <c r="A39" s="154"/>
      <c r="B39" s="124"/>
      <c r="C39" s="124"/>
      <c r="D39" s="138"/>
      <c r="E39" s="124"/>
    </row>
    <row r="40" spans="1:5" x14ac:dyDescent="0.2">
      <c r="A40" s="117" t="s">
        <v>172</v>
      </c>
      <c r="B40" s="124"/>
      <c r="C40" s="124"/>
      <c r="D40" s="156"/>
      <c r="E40" s="124"/>
    </row>
    <row r="41" spans="1:5" x14ac:dyDescent="0.2">
      <c r="A41" s="121" t="s">
        <v>3</v>
      </c>
      <c r="B41" s="124">
        <v>5175.47</v>
      </c>
      <c r="C41" s="124">
        <v>5036.3900000000003</v>
      </c>
      <c r="D41" s="138">
        <f t="shared" ref="D41:D46" si="2">(C41-B41)/B41</f>
        <v>-2.6872921686339583E-2</v>
      </c>
      <c r="E41" s="124">
        <f t="shared" ref="E41:E46" si="3">+C41*$B$12</f>
        <v>324.69306033766298</v>
      </c>
    </row>
    <row r="42" spans="1:5" x14ac:dyDescent="0.2">
      <c r="A42" s="121" t="s">
        <v>43</v>
      </c>
      <c r="B42" s="124">
        <v>4874.51</v>
      </c>
      <c r="C42" s="124">
        <v>5914.92</v>
      </c>
      <c r="D42" s="138">
        <f t="shared" si="2"/>
        <v>0.21343888924220072</v>
      </c>
      <c r="E42" s="124">
        <f t="shared" si="3"/>
        <v>381.33136561156886</v>
      </c>
    </row>
    <row r="43" spans="1:5" x14ac:dyDescent="0.2">
      <c r="A43" s="121" t="s">
        <v>51</v>
      </c>
      <c r="B43" s="124">
        <v>0</v>
      </c>
      <c r="C43" s="124">
        <v>0</v>
      </c>
      <c r="D43" s="138" t="e">
        <f t="shared" si="2"/>
        <v>#DIV/0!</v>
      </c>
      <c r="E43" s="124">
        <f t="shared" si="3"/>
        <v>0</v>
      </c>
    </row>
    <row r="44" spans="1:5" x14ac:dyDescent="0.2">
      <c r="A44" s="121" t="s">
        <v>56</v>
      </c>
      <c r="B44" s="124">
        <v>0</v>
      </c>
      <c r="C44" s="124">
        <v>0</v>
      </c>
      <c r="D44" s="138" t="e">
        <f t="shared" si="2"/>
        <v>#DIV/0!</v>
      </c>
      <c r="E44" s="124">
        <f t="shared" si="3"/>
        <v>0</v>
      </c>
    </row>
    <row r="45" spans="1:5" x14ac:dyDescent="0.2">
      <c r="A45" s="121" t="s">
        <v>173</v>
      </c>
      <c r="B45" s="124">
        <v>47903.519999999997</v>
      </c>
      <c r="C45" s="124">
        <v>49710.66</v>
      </c>
      <c r="D45" s="138">
        <f t="shared" si="2"/>
        <v>3.7724576398561249E-2</v>
      </c>
      <c r="E45" s="124">
        <f t="shared" si="3"/>
        <v>3204.8166100728995</v>
      </c>
    </row>
    <row r="46" spans="1:5" ht="13.5" thickBot="1" x14ac:dyDescent="0.25">
      <c r="A46" s="121" t="s">
        <v>174</v>
      </c>
      <c r="B46" s="124">
        <v>42759.06</v>
      </c>
      <c r="C46" s="124">
        <v>23850.22</v>
      </c>
      <c r="D46" s="138">
        <f t="shared" si="2"/>
        <v>-0.44221832753105417</v>
      </c>
      <c r="E46" s="124">
        <f t="shared" si="3"/>
        <v>1537.6094626362406</v>
      </c>
    </row>
    <row r="47" spans="1:5" ht="13.5" thickTop="1" x14ac:dyDescent="0.2">
      <c r="A47" s="157" t="s">
        <v>175</v>
      </c>
      <c r="B47" s="151">
        <f>SUM(B41:B46)</f>
        <v>100712.56</v>
      </c>
      <c r="C47" s="151">
        <f>SUM(C41:C46)</f>
        <v>84512.19</v>
      </c>
      <c r="D47" s="151" t="e">
        <f>SUM(D41:D46)</f>
        <v>#DIV/0!</v>
      </c>
      <c r="E47" s="151">
        <f>SUM(E41:E46)</f>
        <v>5448.4504986583725</v>
      </c>
    </row>
    <row r="48" spans="1:5" x14ac:dyDescent="0.2">
      <c r="A48" s="121"/>
      <c r="B48" s="124"/>
      <c r="C48" s="124"/>
      <c r="D48" s="124"/>
      <c r="E48" s="121"/>
    </row>
    <row r="49" spans="1:5" x14ac:dyDescent="0.2">
      <c r="A49" s="121"/>
      <c r="B49" s="124"/>
      <c r="C49" s="124"/>
      <c r="D49" s="124"/>
      <c r="E49" s="121"/>
    </row>
    <row r="50" spans="1:5" x14ac:dyDescent="0.2">
      <c r="A50" s="121" t="s">
        <v>176</v>
      </c>
      <c r="B50" s="124"/>
      <c r="C50" s="124">
        <f>+C47+C35</f>
        <v>143285.19</v>
      </c>
      <c r="D50" s="124"/>
      <c r="E50" s="124">
        <f>+E35+E47</f>
        <v>9237.5107650844166</v>
      </c>
    </row>
    <row r="51" spans="1:5" x14ac:dyDescent="0.2">
      <c r="A51" s="121" t="s">
        <v>152</v>
      </c>
      <c r="B51" s="124"/>
      <c r="C51" s="124"/>
      <c r="D51" s="124"/>
      <c r="E51" s="158">
        <f>B15</f>
        <v>1</v>
      </c>
    </row>
    <row r="52" spans="1:5" x14ac:dyDescent="0.2">
      <c r="A52" s="121" t="s">
        <v>177</v>
      </c>
      <c r="B52" s="124"/>
      <c r="C52" s="124"/>
      <c r="D52" s="124"/>
      <c r="E52" s="124">
        <f>E50*E51</f>
        <v>9237.5107650844166</v>
      </c>
    </row>
    <row r="53" spans="1:5" ht="13.5" thickBot="1" x14ac:dyDescent="0.25">
      <c r="A53" s="121" t="s">
        <v>178</v>
      </c>
      <c r="B53" s="124"/>
      <c r="C53" s="124"/>
      <c r="D53" s="124"/>
      <c r="E53" s="124">
        <f>4482+3021+2835</f>
        <v>10338</v>
      </c>
    </row>
    <row r="54" spans="1:5" ht="13.5" thickBot="1" x14ac:dyDescent="0.25">
      <c r="A54" s="117" t="s">
        <v>179</v>
      </c>
      <c r="B54" s="124"/>
      <c r="C54" s="124"/>
      <c r="D54" s="124"/>
      <c r="E54" s="159">
        <f>E52-E53</f>
        <v>-1100.4892349155834</v>
      </c>
    </row>
    <row r="55" spans="1:5" x14ac:dyDescent="0.2">
      <c r="A55" s="121"/>
      <c r="B55" s="124"/>
      <c r="C55" s="124" t="s">
        <v>180</v>
      </c>
      <c r="D55" s="124" t="s">
        <v>181</v>
      </c>
      <c r="E55" s="121"/>
    </row>
    <row r="56" spans="1:5" x14ac:dyDescent="0.2">
      <c r="A56" s="121"/>
      <c r="B56" s="124" t="s">
        <v>182</v>
      </c>
      <c r="C56" s="124">
        <f>E52-C57-C58</f>
        <v>4495.0846923752761</v>
      </c>
      <c r="D56" s="124">
        <v>4482</v>
      </c>
      <c r="E56" s="160">
        <f>C56-D56</f>
        <v>13.084692375276063</v>
      </c>
    </row>
    <row r="57" spans="1:5" x14ac:dyDescent="0.2">
      <c r="A57" s="121"/>
      <c r="B57" s="124" t="s">
        <v>183</v>
      </c>
      <c r="C57" s="124">
        <f>E46</f>
        <v>1537.6094626362406</v>
      </c>
      <c r="D57" s="124">
        <v>2835</v>
      </c>
      <c r="E57" s="160">
        <f>C57-D57</f>
        <v>-1297.3905373637594</v>
      </c>
    </row>
    <row r="58" spans="1:5" ht="13.5" thickBot="1" x14ac:dyDescent="0.25">
      <c r="A58" s="121"/>
      <c r="B58" s="124" t="s">
        <v>184</v>
      </c>
      <c r="C58" s="124">
        <f>E45</f>
        <v>3204.8166100728995</v>
      </c>
      <c r="D58" s="124">
        <v>3021</v>
      </c>
      <c r="E58" s="160">
        <f>C58-D58</f>
        <v>183.81661007289949</v>
      </c>
    </row>
    <row r="59" spans="1:5" ht="13.5" thickTop="1" x14ac:dyDescent="0.2">
      <c r="A59" s="121"/>
      <c r="B59" s="151" t="s">
        <v>20</v>
      </c>
      <c r="C59" s="151">
        <f>SUM(C56:C58)</f>
        <v>9237.5107650844166</v>
      </c>
      <c r="D59" s="151">
        <f>SUM(D56:D58)</f>
        <v>10338</v>
      </c>
      <c r="E59" s="151">
        <f>SUM(E56:E58)</f>
        <v>-1100.4892349155839</v>
      </c>
    </row>
  </sheetData>
  <mergeCells count="2">
    <mergeCell ref="A2:E2"/>
    <mergeCell ref="A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1e58d4f7-259a-4861-905a-cdc05a25e5a3" xsi:nil="true"/>
    <TaxCatchAll xmlns="bce60e79-0688-41d8-b29b-a58d529c65b5" xsi:nil="true"/>
    <lcf76f155ced4ddcb4097134ff3c332f xmlns="1e58d4f7-259a-4861-905a-cdc05a25e5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DDA383D303147AB9B4538557BA3AB" ma:contentTypeVersion="20" ma:contentTypeDescription="Create a new document." ma:contentTypeScope="" ma:versionID="215011bb14614843772c73a919eb6fec">
  <xsd:schema xmlns:xsd="http://www.w3.org/2001/XMLSchema" xmlns:xs="http://www.w3.org/2001/XMLSchema" xmlns:p="http://schemas.microsoft.com/office/2006/metadata/properties" xmlns:ns2="bce60e79-0688-41d8-b29b-a58d529c65b5" xmlns:ns3="1e58d4f7-259a-4861-905a-cdc05a25e5a3" targetNamespace="http://schemas.microsoft.com/office/2006/metadata/properties" ma:root="true" ma:fieldsID="b6834ef436c043ec0c53a51aba01868a" ns2:_="" ns3:_="">
    <xsd:import namespace="bce60e79-0688-41d8-b29b-a58d529c65b5"/>
    <xsd:import namespace="1e58d4f7-259a-4861-905a-cdc05a25e5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ateModified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60e79-0688-41d8-b29b-a58d529c65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3cf21c31-1ea5-44e7-a3df-8d2f3bec9ef2}" ma:internalName="TaxCatchAll" ma:showField="CatchAllData" ma:web="bce60e79-0688-41d8-b29b-a58d529c65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8d4f7-259a-4861-905a-cdc05a25e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Modified" ma:index="23" nillable="true" ma:displayName="Date Modified" ma:format="DateOnly" ma:internalName="DateModified">
      <xsd:simpleType>
        <xsd:restriction base="dms:DateTime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b1187f1e-cff1-44f2-8ff8-2b0bbe6d7c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82D08-4D32-4735-BD2D-22B0C9F9EAC1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bce60e79-0688-41d8-b29b-a58d529c65b5"/>
    <ds:schemaRef ds:uri="http://schemas.microsoft.com/office/2006/documentManagement/types"/>
    <ds:schemaRef ds:uri="http://schemas.microsoft.com/office/infopath/2007/PartnerControls"/>
    <ds:schemaRef ds:uri="1e58d4f7-259a-4861-905a-cdc05a25e5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3E50CC-A3B3-4462-9A0F-FCB5DE10C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60e79-0688-41d8-b29b-a58d529c65b5"/>
    <ds:schemaRef ds:uri="1e58d4f7-259a-4861-905a-cdc05a25e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6939F6-AE1A-4D79-A610-A8C8F6553C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2018 CAM Expense</vt:lpstr>
      <vt:lpstr>Summary</vt:lpstr>
      <vt:lpstr>20 CAM Pools</vt:lpstr>
      <vt:lpstr>20 CAM recovery</vt:lpstr>
      <vt:lpstr>20 tax recovery</vt:lpstr>
      <vt:lpstr>20 INS recovery</vt:lpstr>
      <vt:lpstr>chipolte</vt:lpstr>
      <vt:lpstr>chipolte!ADMINFEE</vt:lpstr>
      <vt:lpstr>chipolte!CMGPRS</vt:lpstr>
      <vt:lpstr>'20 CAM Pools'!Print_Area</vt:lpstr>
      <vt:lpstr>'20 tax recovery'!Print_Area</vt:lpstr>
      <vt:lpstr>'20 CAM Pools'!Print_Titles</vt:lpstr>
    </vt:vector>
  </TitlesOfParts>
  <Manager/>
  <Company>Price Edwards &amp;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 Patterson</dc:creator>
  <cp:keywords/>
  <dc:description/>
  <cp:lastModifiedBy>Erin Langston</cp:lastModifiedBy>
  <cp:revision/>
  <cp:lastPrinted>2021-03-02T00:26:54Z</cp:lastPrinted>
  <dcterms:created xsi:type="dcterms:W3CDTF">2006-03-28T02:09:23Z</dcterms:created>
  <dcterms:modified xsi:type="dcterms:W3CDTF">2022-11-28T16:35:12Z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0x010100DF0DDA383D303147AB9B4538557BA3AB</vt:lpwstr>
  </property>
  <property fmtid="{D5CDD505-2E9C-101B-9397-08002B2CF9AE}" pid="3" name="DateModified">
    <vt:lpwstr/>
  </property>
</Properties>
</file>